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ari\OneDrive\Área de Trabalho\02 - SÃO FRANCISCO\01 - PONTE\02 - PLANILHA\"/>
    </mc:Choice>
  </mc:AlternateContent>
  <xr:revisionPtr revIDLastSave="0" documentId="13_ncr:1_{932E30A8-E09B-4684-B78B-857576B4C3C7}" xr6:coauthVersionLast="43" xr6:coauthVersionMax="47" xr10:uidLastSave="{00000000-0000-0000-0000-000000000000}"/>
  <bookViews>
    <workbookView xWindow="-120" yWindow="-120" windowWidth="29040" windowHeight="15720" activeTab="3" xr2:uid="{AFC1CD50-1253-486F-8F2F-5AA539AAE211}"/>
  </bookViews>
  <sheets>
    <sheet name="PLANILHA ORÇAMENTÁRIA " sheetId="3" r:id="rId1"/>
    <sheet name="MEMÓRIA DE CÁLCULO " sheetId="1" r:id="rId2"/>
    <sheet name="CRONOGRAMA FÍSICO FINANCEIRO " sheetId="4" r:id="rId3"/>
    <sheet name="COMPOSIÇÃO " sheetId="5" r:id="rId4"/>
  </sheets>
  <definedNames>
    <definedName name="_xlnm.Print_Area" localSheetId="2">'CRONOGRAMA FÍSICO FINANCEIRO '!$A$1:$O$43</definedName>
    <definedName name="_xlnm.Print_Area" localSheetId="1">'MEMÓRIA DE CÁLCULO '!$A$1:$K$303</definedName>
    <definedName name="_xlnm.Print_Area" localSheetId="0">'PLANILHA ORÇAMENTÁRIA '!$A$1:$J$78</definedName>
    <definedName name="_xlnm.Print_Titles" localSheetId="1">'MEMÓRIA DE CÁLCULO '!$1:$7</definedName>
    <definedName name="_xlnm.Print_Titles" localSheetId="0">'PLANILHA ORÇAMENTÁRIA 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277" i="1" l="1"/>
  <c r="J271" i="1"/>
  <c r="J259" i="1"/>
  <c r="J260" i="1"/>
  <c r="J252" i="1"/>
  <c r="J253" i="1"/>
  <c r="J246" i="1"/>
  <c r="J242" i="1"/>
  <c r="J243" i="1"/>
  <c r="J244" i="1"/>
  <c r="J245" i="1"/>
  <c r="J228" i="1"/>
  <c r="J229" i="1"/>
  <c r="J220" i="1"/>
  <c r="J221" i="1"/>
  <c r="J209" i="1"/>
  <c r="J198" i="1"/>
  <c r="J181" i="1"/>
  <c r="J182" i="1"/>
  <c r="J163" i="1"/>
  <c r="J164" i="1"/>
  <c r="J165" i="1"/>
  <c r="J166" i="1"/>
  <c r="J167" i="1"/>
  <c r="J168" i="1"/>
  <c r="J169" i="1"/>
  <c r="J155" i="1"/>
  <c r="J156" i="1"/>
  <c r="J157" i="1"/>
  <c r="J147" i="1"/>
  <c r="J148" i="1"/>
  <c r="J149" i="1"/>
  <c r="J139" i="1"/>
  <c r="J140" i="1"/>
  <c r="J141" i="1"/>
  <c r="J106" i="1"/>
  <c r="J107" i="1"/>
  <c r="J108" i="1"/>
  <c r="J98" i="1"/>
  <c r="J99" i="1"/>
  <c r="J100" i="1"/>
  <c r="J85" i="1"/>
  <c r="J86" i="1"/>
  <c r="J87" i="1"/>
  <c r="J77" i="1"/>
  <c r="J78" i="1"/>
  <c r="J79" i="1"/>
  <c r="N31" i="3"/>
  <c r="F3" i="5" l="1"/>
  <c r="C293" i="1"/>
  <c r="C287" i="1"/>
  <c r="C281" i="1"/>
  <c r="C274" i="1"/>
  <c r="C268" i="1"/>
  <c r="C263" i="1"/>
  <c r="C256" i="1"/>
  <c r="C249" i="1"/>
  <c r="C239" i="1"/>
  <c r="C234" i="1"/>
  <c r="C225" i="1"/>
  <c r="C217" i="1"/>
  <c r="C212" i="1"/>
  <c r="C206" i="1"/>
  <c r="C201" i="1"/>
  <c r="C195" i="1"/>
  <c r="C190" i="1"/>
  <c r="C185" i="1"/>
  <c r="C178" i="1"/>
  <c r="C172" i="1"/>
  <c r="C160" i="1"/>
  <c r="C152" i="1"/>
  <c r="C144" i="1"/>
  <c r="C136" i="1"/>
  <c r="C131" i="1"/>
  <c r="C126" i="1"/>
  <c r="C121" i="1"/>
  <c r="C116" i="1"/>
  <c r="C111" i="1"/>
  <c r="C103" i="1"/>
  <c r="C95" i="1"/>
  <c r="C90" i="1"/>
  <c r="C82" i="1"/>
  <c r="C74" i="1"/>
  <c r="C68" i="1"/>
  <c r="C63" i="1"/>
  <c r="C58" i="1"/>
  <c r="C53" i="1"/>
  <c r="C48" i="1"/>
  <c r="C42" i="1"/>
  <c r="C36" i="1"/>
  <c r="C30" i="1"/>
  <c r="C25" i="1"/>
  <c r="C20" i="1"/>
  <c r="C15" i="1"/>
  <c r="C10" i="1"/>
  <c r="J236" i="1"/>
  <c r="I98" i="1"/>
  <c r="I99" i="1"/>
  <c r="I100" i="1"/>
  <c r="I97" i="1"/>
  <c r="D55" i="1"/>
  <c r="M11" i="4"/>
  <c r="M12" i="4"/>
  <c r="M13" i="4"/>
  <c r="M14" i="4"/>
  <c r="M15" i="4"/>
  <c r="M16" i="4"/>
  <c r="M17" i="4"/>
  <c r="M10" i="4"/>
  <c r="J32" i="1"/>
  <c r="J33" i="1"/>
  <c r="F16" i="3" s="1"/>
  <c r="I16" i="3" s="1"/>
  <c r="H16" i="3"/>
  <c r="H15" i="3"/>
  <c r="J27" i="1"/>
  <c r="J28" i="1" s="1"/>
  <c r="F15" i="3" s="1"/>
  <c r="I15" i="3" s="1"/>
  <c r="J16" i="3" l="1"/>
  <c r="J15" i="3"/>
  <c r="H50" i="3"/>
  <c r="H35" i="3"/>
  <c r="H36" i="3"/>
  <c r="J278" i="1" l="1"/>
  <c r="F271" i="1"/>
  <c r="I228" i="1"/>
  <c r="I229" i="1"/>
  <c r="I227" i="1"/>
  <c r="D228" i="1"/>
  <c r="E228" i="1"/>
  <c r="F228" i="1"/>
  <c r="D229" i="1"/>
  <c r="E229" i="1"/>
  <c r="F229" i="1"/>
  <c r="F227" i="1"/>
  <c r="E227" i="1"/>
  <c r="D227" i="1"/>
  <c r="A221" i="1"/>
  <c r="A229" i="1" s="1"/>
  <c r="A203" i="1"/>
  <c r="J214" i="1"/>
  <c r="J215" i="1" s="1"/>
  <c r="F50" i="3" s="1"/>
  <c r="F187" i="1"/>
  <c r="F222" i="1" s="1"/>
  <c r="D182" i="1"/>
  <c r="D169" i="1"/>
  <c r="I155" i="1"/>
  <c r="I156" i="1"/>
  <c r="I157" i="1"/>
  <c r="I154" i="1"/>
  <c r="D155" i="1"/>
  <c r="E155" i="1"/>
  <c r="F155" i="1"/>
  <c r="D156" i="1"/>
  <c r="E156" i="1"/>
  <c r="F156" i="1"/>
  <c r="D157" i="1"/>
  <c r="E157" i="1"/>
  <c r="F157" i="1"/>
  <c r="F154" i="1"/>
  <c r="E154" i="1"/>
  <c r="D154" i="1"/>
  <c r="D141" i="1"/>
  <c r="J128" i="1"/>
  <c r="J129" i="1" s="1"/>
  <c r="F36" i="3" s="1"/>
  <c r="J123" i="1"/>
  <c r="J124" i="1" s="1"/>
  <c r="F35" i="3" s="1"/>
  <c r="I106" i="1"/>
  <c r="I107" i="1"/>
  <c r="I108" i="1"/>
  <c r="E87" i="1"/>
  <c r="D87" i="1"/>
  <c r="D100" i="1" s="1"/>
  <c r="D108" i="1" s="1"/>
  <c r="D79" i="1"/>
  <c r="A86" i="1"/>
  <c r="A87" i="1"/>
  <c r="A100" i="1" s="1"/>
  <c r="A108" i="1" s="1"/>
  <c r="A141" i="1" s="1"/>
  <c r="A149" i="1" s="1"/>
  <c r="A157" i="1" s="1"/>
  <c r="E100" i="1" l="1"/>
  <c r="F230" i="1"/>
  <c r="J222" i="1"/>
  <c r="I35" i="3"/>
  <c r="J35" i="3"/>
  <c r="I50" i="3"/>
  <c r="J50" i="3"/>
  <c r="I36" i="3"/>
  <c r="J36" i="3"/>
  <c r="N3" i="4"/>
  <c r="J237" i="1"/>
  <c r="J241" i="1"/>
  <c r="F96" i="1"/>
  <c r="J44" i="1"/>
  <c r="J12" i="1"/>
  <c r="J38" i="1"/>
  <c r="M6" i="4"/>
  <c r="H14" i="3"/>
  <c r="I3" i="3"/>
  <c r="E108" i="1" l="1"/>
  <c r="F54" i="3"/>
  <c r="I54" i="3" s="1"/>
  <c r="J247" i="1"/>
  <c r="F55" i="3" s="1"/>
  <c r="H45" i="3"/>
  <c r="H42" i="3"/>
  <c r="H41" i="3"/>
  <c r="H20" i="3"/>
  <c r="H57" i="3"/>
  <c r="H40" i="3"/>
  <c r="H24" i="3"/>
  <c r="H22" i="3"/>
  <c r="H39" i="3"/>
  <c r="H23" i="3"/>
  <c r="H51" i="3"/>
  <c r="H64" i="3"/>
  <c r="H49" i="3"/>
  <c r="H33" i="3"/>
  <c r="H12" i="3"/>
  <c r="H60" i="3"/>
  <c r="H29" i="3"/>
  <c r="H59" i="3"/>
  <c r="H26" i="3"/>
  <c r="H13" i="3"/>
  <c r="H58" i="3"/>
  <c r="H25" i="3"/>
  <c r="H56" i="3"/>
  <c r="O6" i="4"/>
  <c r="H28" i="3"/>
  <c r="H55" i="3"/>
  <c r="H38" i="3"/>
  <c r="H44" i="3"/>
  <c r="H52" i="3"/>
  <c r="H37" i="3"/>
  <c r="H54" i="3"/>
  <c r="H34" i="3"/>
  <c r="H62" i="3"/>
  <c r="H48" i="3"/>
  <c r="H32" i="3"/>
  <c r="H47" i="3"/>
  <c r="H61" i="3"/>
  <c r="H31" i="3"/>
  <c r="H46" i="3"/>
  <c r="H30" i="3"/>
  <c r="J54" i="3" l="1"/>
  <c r="A230" i="1"/>
  <c r="J296" i="1" l="1"/>
  <c r="J295" i="1"/>
  <c r="J270" i="1" l="1"/>
  <c r="J50" i="1" l="1"/>
  <c r="J55" i="1"/>
  <c r="J219" i="1"/>
  <c r="D181" i="1"/>
  <c r="D187" i="1"/>
  <c r="J187" i="1" s="1"/>
  <c r="J188" i="1" s="1"/>
  <c r="F45" i="3" s="1"/>
  <c r="J133" i="1"/>
  <c r="J134" i="1" s="1"/>
  <c r="F37" i="3" s="1"/>
  <c r="J283" i="1"/>
  <c r="J284" i="1" s="1"/>
  <c r="F61" i="3" s="1"/>
  <c r="J230" i="1"/>
  <c r="J227" i="1"/>
  <c r="J154" i="1"/>
  <c r="J158" i="1" s="1"/>
  <c r="F40" i="3" s="1"/>
  <c r="J92" i="1"/>
  <c r="J93" i="1" s="1"/>
  <c r="F30" i="3" s="1"/>
  <c r="J45" i="1"/>
  <c r="F20" i="3" s="1"/>
  <c r="J39" i="1"/>
  <c r="F18" i="3" s="1"/>
  <c r="J289" i="1"/>
  <c r="J265" i="1"/>
  <c r="J266" i="1" s="1"/>
  <c r="F58" i="3" s="1"/>
  <c r="J258" i="1"/>
  <c r="J276" i="1"/>
  <c r="D180" i="1"/>
  <c r="J180" i="1" s="1"/>
  <c r="A220" i="1"/>
  <c r="A228" i="1" s="1"/>
  <c r="A219" i="1"/>
  <c r="A227" i="1" s="1"/>
  <c r="J208" i="1"/>
  <c r="J203" i="1"/>
  <c r="J197" i="1"/>
  <c r="D165" i="1"/>
  <c r="D167" i="1"/>
  <c r="J146" i="1"/>
  <c r="J150" i="1" s="1"/>
  <c r="F39" i="3" s="1"/>
  <c r="D140" i="1"/>
  <c r="D139" i="1"/>
  <c r="J118" i="1"/>
  <c r="J119" i="1" s="1"/>
  <c r="F34" i="3" s="1"/>
  <c r="E84" i="1"/>
  <c r="E97" i="1" s="1"/>
  <c r="E105" i="1" s="1"/>
  <c r="F104" i="1"/>
  <c r="E96" i="1"/>
  <c r="E104" i="1" s="1"/>
  <c r="D96" i="1"/>
  <c r="D104" i="1" s="1"/>
  <c r="I139" i="1"/>
  <c r="I140" i="1"/>
  <c r="I105" i="1"/>
  <c r="I138" i="1" s="1"/>
  <c r="A97" i="1"/>
  <c r="A105" i="1" s="1"/>
  <c r="A138" i="1" s="1"/>
  <c r="A146" i="1" s="1"/>
  <c r="A154" i="1" s="1"/>
  <c r="E86" i="1"/>
  <c r="D86" i="1"/>
  <c r="E85" i="1"/>
  <c r="D85" i="1"/>
  <c r="D84" i="1"/>
  <c r="D97" i="1" s="1"/>
  <c r="D105" i="1" s="1"/>
  <c r="A99" i="1"/>
  <c r="A107" i="1" s="1"/>
  <c r="A140" i="1" s="1"/>
  <c r="A148" i="1" s="1"/>
  <c r="A156" i="1" s="1"/>
  <c r="A85" i="1"/>
  <c r="A98" i="1" s="1"/>
  <c r="A106" i="1" s="1"/>
  <c r="A139" i="1" s="1"/>
  <c r="A147" i="1" s="1"/>
  <c r="A155" i="1" s="1"/>
  <c r="D76" i="1"/>
  <c r="D138" i="1" s="1"/>
  <c r="D78" i="1"/>
  <c r="D77" i="1"/>
  <c r="J22" i="1"/>
  <c r="J192" i="1"/>
  <c r="D98" i="1" l="1"/>
  <c r="J138" i="1"/>
  <c r="D99" i="1"/>
  <c r="E98" i="1"/>
  <c r="E106" i="1" s="1"/>
  <c r="E99" i="1"/>
  <c r="E107" i="1" s="1"/>
  <c r="J183" i="1"/>
  <c r="F44" i="3" s="1"/>
  <c r="I30" i="3"/>
  <c r="J30" i="3"/>
  <c r="I37" i="3"/>
  <c r="J37" i="3"/>
  <c r="I45" i="3"/>
  <c r="J45" i="3"/>
  <c r="I61" i="3"/>
  <c r="J61" i="3"/>
  <c r="I34" i="3"/>
  <c r="J34" i="3"/>
  <c r="I58" i="3"/>
  <c r="J58" i="3"/>
  <c r="I20" i="3"/>
  <c r="I19" i="3" s="1"/>
  <c r="J20" i="3"/>
  <c r="J19" i="3" s="1"/>
  <c r="D12" i="4" s="1"/>
  <c r="F60" i="1"/>
  <c r="J56" i="1"/>
  <c r="F23" i="3" s="1"/>
  <c r="J231" i="1"/>
  <c r="F52" i="3" s="1"/>
  <c r="J261" i="1"/>
  <c r="F57" i="3" s="1"/>
  <c r="J199" i="1"/>
  <c r="F47" i="3" s="1"/>
  <c r="J210" i="1"/>
  <c r="F49" i="3" s="1"/>
  <c r="J204" i="1"/>
  <c r="F48" i="3" s="1"/>
  <c r="D163" i="1"/>
  <c r="J297" i="1"/>
  <c r="F64" i="3" s="1"/>
  <c r="J223" i="1"/>
  <c r="F51" i="3" s="1"/>
  <c r="J193" i="1"/>
  <c r="F46" i="3" s="1"/>
  <c r="J23" i="1"/>
  <c r="F14" i="3" s="1"/>
  <c r="J251" i="1"/>
  <c r="J162" i="1"/>
  <c r="J113" i="1"/>
  <c r="J114" i="1" s="1"/>
  <c r="F33" i="3" s="1"/>
  <c r="J105" i="1"/>
  <c r="J97" i="1"/>
  <c r="J84" i="1"/>
  <c r="J88" i="1" s="1"/>
  <c r="F29" i="3" s="1"/>
  <c r="J76" i="1"/>
  <c r="J80" i="1" s="1"/>
  <c r="F28" i="3" s="1"/>
  <c r="J12" i="4" l="1"/>
  <c r="F12" i="4"/>
  <c r="H12" i="4"/>
  <c r="L12" i="4"/>
  <c r="I52" i="3"/>
  <c r="J52" i="3"/>
  <c r="D107" i="1"/>
  <c r="D106" i="1"/>
  <c r="J142" i="1"/>
  <c r="F38" i="3" s="1"/>
  <c r="J170" i="1"/>
  <c r="F41" i="3" s="1"/>
  <c r="E60" i="1"/>
  <c r="I40" i="3"/>
  <c r="J40" i="3"/>
  <c r="I64" i="3"/>
  <c r="I63" i="3" s="1"/>
  <c r="J64" i="3"/>
  <c r="J63" i="3" s="1"/>
  <c r="D17" i="4" s="1"/>
  <c r="I14" i="3"/>
  <c r="J14" i="3"/>
  <c r="I46" i="3"/>
  <c r="J46" i="3"/>
  <c r="I51" i="3"/>
  <c r="J51" i="3"/>
  <c r="I48" i="3"/>
  <c r="J48" i="3"/>
  <c r="I23" i="3"/>
  <c r="J23" i="3"/>
  <c r="I33" i="3"/>
  <c r="J33" i="3"/>
  <c r="I49" i="3"/>
  <c r="J49" i="3"/>
  <c r="I47" i="3"/>
  <c r="J47" i="3"/>
  <c r="I57" i="3"/>
  <c r="J57" i="3"/>
  <c r="I55" i="3"/>
  <c r="J55" i="3"/>
  <c r="I44" i="3"/>
  <c r="J44" i="3"/>
  <c r="J279" i="1"/>
  <c r="F60" i="3" s="1"/>
  <c r="J290" i="1"/>
  <c r="F62" i="3" s="1"/>
  <c r="J272" i="1"/>
  <c r="F59" i="3" s="1"/>
  <c r="J254" i="1"/>
  <c r="F56" i="3" s="1"/>
  <c r="J51" i="1"/>
  <c r="F22" i="3" s="1"/>
  <c r="J17" i="1"/>
  <c r="J16" i="1"/>
  <c r="J17" i="4" l="1"/>
  <c r="L17" i="4"/>
  <c r="H17" i="4"/>
  <c r="F17" i="4"/>
  <c r="N12" i="4"/>
  <c r="J109" i="1"/>
  <c r="F32" i="3" s="1"/>
  <c r="D60" i="1"/>
  <c r="J60" i="1" s="1"/>
  <c r="J61" i="1" s="1"/>
  <c r="D65" i="1"/>
  <c r="J101" i="1"/>
  <c r="I41" i="3"/>
  <c r="J41" i="3"/>
  <c r="J43" i="3"/>
  <c r="D15" i="4" s="1"/>
  <c r="I43" i="3"/>
  <c r="I62" i="3"/>
  <c r="J62" i="3"/>
  <c r="I60" i="3"/>
  <c r="J60" i="3"/>
  <c r="D174" i="1"/>
  <c r="I59" i="3"/>
  <c r="J59" i="3"/>
  <c r="I28" i="3"/>
  <c r="J28" i="3"/>
  <c r="I56" i="3"/>
  <c r="J56" i="3"/>
  <c r="F174" i="1"/>
  <c r="I38" i="3"/>
  <c r="J38" i="3"/>
  <c r="J13" i="1"/>
  <c r="F12" i="3" s="1"/>
  <c r="J18" i="1"/>
  <c r="F13" i="3" s="1"/>
  <c r="I3" i="1"/>
  <c r="N17" i="4" l="1"/>
  <c r="J15" i="4"/>
  <c r="F15" i="4"/>
  <c r="H15" i="4"/>
  <c r="L15" i="4"/>
  <c r="E174" i="1"/>
  <c r="J174" i="1" s="1"/>
  <c r="J175" i="1" s="1"/>
  <c r="F31" i="3"/>
  <c r="I31" i="3" s="1"/>
  <c r="E65" i="1"/>
  <c r="F24" i="3"/>
  <c r="J24" i="3" s="1"/>
  <c r="J65" i="1"/>
  <c r="J66" i="1" s="1"/>
  <c r="J53" i="3"/>
  <c r="D16" i="4" s="1"/>
  <c r="I53" i="3"/>
  <c r="I13" i="3"/>
  <c r="J13" i="3"/>
  <c r="I22" i="3"/>
  <c r="J22" i="3"/>
  <c r="I39" i="3"/>
  <c r="J39" i="3"/>
  <c r="I32" i="3"/>
  <c r="J32" i="3"/>
  <c r="I29" i="3"/>
  <c r="J29" i="3"/>
  <c r="I12" i="3"/>
  <c r="J12" i="3"/>
  <c r="I24" i="3" l="1"/>
  <c r="J11" i="3"/>
  <c r="D10" i="4" s="1"/>
  <c r="J16" i="4"/>
  <c r="L16" i="4"/>
  <c r="F16" i="4"/>
  <c r="H16" i="4"/>
  <c r="N15" i="4"/>
  <c r="J31" i="3"/>
  <c r="I11" i="3"/>
  <c r="F42" i="3"/>
  <c r="I42" i="3" s="1"/>
  <c r="I27" i="3" s="1"/>
  <c r="D70" i="1"/>
  <c r="J70" i="1" s="1"/>
  <c r="J71" i="1" s="1"/>
  <c r="F26" i="3" s="1"/>
  <c r="F25" i="3"/>
  <c r="I25" i="3" s="1"/>
  <c r="J42" i="3" l="1"/>
  <c r="J27" i="3" s="1"/>
  <c r="D14" i="4" s="1"/>
  <c r="J25" i="3"/>
  <c r="J10" i="4"/>
  <c r="H10" i="4"/>
  <c r="L10" i="4"/>
  <c r="F10" i="4"/>
  <c r="N10" i="4" s="1"/>
  <c r="N16" i="4"/>
  <c r="I26" i="3"/>
  <c r="I21" i="3" s="1"/>
  <c r="L18" i="3" s="1"/>
  <c r="J26" i="3"/>
  <c r="J21" i="3" s="1"/>
  <c r="D13" i="4" s="1"/>
  <c r="J14" i="4" l="1"/>
  <c r="F14" i="4"/>
  <c r="H14" i="4"/>
  <c r="L14" i="4"/>
  <c r="L13" i="4"/>
  <c r="F13" i="4"/>
  <c r="H13" i="4"/>
  <c r="J13" i="4"/>
  <c r="N18" i="3"/>
  <c r="N19" i="3" s="1"/>
  <c r="N14" i="4" l="1"/>
  <c r="N13" i="4"/>
  <c r="G18" i="3"/>
  <c r="H18" i="3" s="1"/>
  <c r="J18" i="3" s="1"/>
  <c r="J17" i="3" s="1"/>
  <c r="I18" i="3" l="1"/>
  <c r="I17" i="3" s="1"/>
  <c r="I10" i="3" s="1"/>
  <c r="D11" i="4"/>
  <c r="J10" i="3"/>
  <c r="J65" i="3" s="1"/>
  <c r="H11" i="4" l="1"/>
  <c r="H18" i="4" s="1"/>
  <c r="J11" i="4"/>
  <c r="J18" i="4" s="1"/>
  <c r="F11" i="4"/>
  <c r="L11" i="4"/>
  <c r="L18" i="4" s="1"/>
  <c r="D18" i="4"/>
  <c r="N11" i="4" l="1"/>
  <c r="N18" i="4" s="1"/>
  <c r="F18" i="4"/>
  <c r="I18" i="4"/>
  <c r="K18" i="4"/>
  <c r="G18" i="4"/>
  <c r="C12" i="4"/>
  <c r="C17" i="4"/>
  <c r="C15" i="4"/>
  <c r="C16" i="4"/>
  <c r="C10" i="4"/>
  <c r="C13" i="4"/>
  <c r="C14" i="4"/>
  <c r="C11" i="4"/>
  <c r="F19" i="4" l="1"/>
  <c r="H19" i="4" s="1"/>
  <c r="J19" i="4" s="1"/>
  <c r="E18" i="4"/>
  <c r="E19" i="4" s="1"/>
  <c r="G19" i="4" s="1"/>
  <c r="I19" i="4" s="1"/>
  <c r="K19" i="4" s="1"/>
  <c r="C18" i="4"/>
</calcChain>
</file>

<file path=xl/sharedStrings.xml><?xml version="1.0" encoding="utf-8"?>
<sst xmlns="http://schemas.openxmlformats.org/spreadsheetml/2006/main" count="936" uniqueCount="326">
  <si>
    <t>DESCRIÇÃO DA OBRA:</t>
  </si>
  <si>
    <t>RESPONSÁVEL TECNICO:</t>
  </si>
  <si>
    <t>ENDEREÇO:</t>
  </si>
  <si>
    <t>ITEM:</t>
  </si>
  <si>
    <t>Descrição</t>
  </si>
  <si>
    <t>Comprimento (m)</t>
  </si>
  <si>
    <t>Largura (m)</t>
  </si>
  <si>
    <t>Área (m²)</t>
  </si>
  <si>
    <t>Repetição</t>
  </si>
  <si>
    <t xml:space="preserve">Observações </t>
  </si>
  <si>
    <t>Art.:</t>
  </si>
  <si>
    <t>Data:</t>
  </si>
  <si>
    <t>ISS:</t>
  </si>
  <si>
    <t>BDI:</t>
  </si>
  <si>
    <t>TOTAL</t>
  </si>
  <si>
    <t>OBRA :</t>
  </si>
  <si>
    <t>1.0</t>
  </si>
  <si>
    <t>1.1</t>
  </si>
  <si>
    <t>1.1.1</t>
  </si>
  <si>
    <t>1.2.1</t>
  </si>
  <si>
    <t>SERVIÇOS PRELIMINARES</t>
  </si>
  <si>
    <t>Área Total (m²)</t>
  </si>
  <si>
    <t>Placa de Obra (3,00x1,50)</t>
  </si>
  <si>
    <t>1.2</t>
  </si>
  <si>
    <t>1.1.2</t>
  </si>
  <si>
    <t>Altura/Espessura (m)</t>
  </si>
  <si>
    <t>Volume Total (m³)</t>
  </si>
  <si>
    <t>1.3</t>
  </si>
  <si>
    <t>1.3.1</t>
  </si>
  <si>
    <t>1.4</t>
  </si>
  <si>
    <t>1.4.1</t>
  </si>
  <si>
    <t>1.4.2</t>
  </si>
  <si>
    <t>1.4.3</t>
  </si>
  <si>
    <t>Peso (KG)</t>
  </si>
  <si>
    <t>Peso Total (KG)</t>
  </si>
  <si>
    <t>Volume Escavado (m³)</t>
  </si>
  <si>
    <t>Vol. Lastro (m³)</t>
  </si>
  <si>
    <t>Vol. Concreto (m³)</t>
  </si>
  <si>
    <t>1.5</t>
  </si>
  <si>
    <t>1.5.1</t>
  </si>
  <si>
    <t>1.5.2</t>
  </si>
  <si>
    <t>1.5.3</t>
  </si>
  <si>
    <t>1.5.4</t>
  </si>
  <si>
    <t>1.5.5</t>
  </si>
  <si>
    <t>1.6</t>
  </si>
  <si>
    <t>1.6.1</t>
  </si>
  <si>
    <t>1.6.2</t>
  </si>
  <si>
    <t>1.6.3</t>
  </si>
  <si>
    <t>1.6.4</t>
  </si>
  <si>
    <t>1.6.5</t>
  </si>
  <si>
    <t>1.7</t>
  </si>
  <si>
    <t>1.8</t>
  </si>
  <si>
    <t>1.7.1</t>
  </si>
  <si>
    <t>1.8.1</t>
  </si>
  <si>
    <t>Comprimento Total (m)</t>
  </si>
  <si>
    <t xml:space="preserve">SERVIÇOS COMPLEMENTARES </t>
  </si>
  <si>
    <t xml:space="preserve">KÁREN MARIANA SOARES VIEIRA </t>
  </si>
  <si>
    <t>ENGENHEIRA CIVIL 332.425/D-MG</t>
  </si>
  <si>
    <t xml:space="preserve"> </t>
  </si>
  <si>
    <t>MOVIMENTO DE TERRA</t>
  </si>
  <si>
    <t>ADMINISTRAÇÃO LOCAL</t>
  </si>
  <si>
    <t>INFRAESTRUTURA (BLOCOS E ESTACAS)</t>
  </si>
  <si>
    <t>MESOESTRUTURA (CORTINAS E PILARES)</t>
  </si>
  <si>
    <t>SUPRAESTRUTURA (VIGAS, LAJE E GUARDA-RODAS)</t>
  </si>
  <si>
    <t>PLACA</t>
  </si>
  <si>
    <t>PREFEITURA MUNICIPAL DE GLAUCILÂNDIA-MG</t>
  </si>
  <si>
    <t>KÁREN MARIANA SOARES VIEIRA</t>
  </si>
  <si>
    <t>Unidade (Unid)</t>
  </si>
  <si>
    <t>Cotinas</t>
  </si>
  <si>
    <t>Reaterro das Cotinas</t>
  </si>
  <si>
    <t>DMT</t>
  </si>
  <si>
    <t>Cortina</t>
  </si>
  <si>
    <t>4,20+2,5+0,4+2,33+3,87+2,33+0,4+2,5</t>
  </si>
  <si>
    <t>0,6+0,6+0,6+0,6</t>
  </si>
  <si>
    <t>1,4+1,4+1,4+1,4</t>
  </si>
  <si>
    <t>2,5+2,5+4,2</t>
  </si>
  <si>
    <t>Bloco 60x60cm</t>
  </si>
  <si>
    <t>Bloco 140x140cm</t>
  </si>
  <si>
    <t>Comprimento (m) + 10cm de cada lado p/ forma</t>
  </si>
  <si>
    <t>Largura (m) + 10cm de cada lado p/ forma</t>
  </si>
  <si>
    <t>Altura/Espessura (m) + 5cm p/ o lastro</t>
  </si>
  <si>
    <t xml:space="preserve">Sapata de Apoio Cortina </t>
  </si>
  <si>
    <t>Sapata de Apoio (topo)</t>
  </si>
  <si>
    <t>Sapata de Apoio (laterais)</t>
  </si>
  <si>
    <t>Bloco 60x60cm (topo)</t>
  </si>
  <si>
    <t>Bloco 60x60cm (laterais)</t>
  </si>
  <si>
    <t>Bloco 140x140cm (topo)</t>
  </si>
  <si>
    <t>Bloco 140x140cm (laterais)</t>
  </si>
  <si>
    <t>Pilares 40x40</t>
  </si>
  <si>
    <t>Pilares 60X30</t>
  </si>
  <si>
    <t>Cortina (sem Pilares e sem sapata de apoio)</t>
  </si>
  <si>
    <t>Blocos</t>
  </si>
  <si>
    <t>Pilares</t>
  </si>
  <si>
    <t>Corinas</t>
  </si>
  <si>
    <t>0,4+0,4+0,4+0,4</t>
  </si>
  <si>
    <t>0,6+0,3+0,6+0,3</t>
  </si>
  <si>
    <t>Vigas</t>
  </si>
  <si>
    <t>Laje</t>
  </si>
  <si>
    <t>Guarda-Rodas</t>
  </si>
  <si>
    <t>Laje (Laterais 4,2m)</t>
  </si>
  <si>
    <t>Guarda-Rodas (Laterais 8m)</t>
  </si>
  <si>
    <t>Guarda-Rodas (Laterais 0,15m)</t>
  </si>
  <si>
    <t>Vigas (Base 0,3m)</t>
  </si>
  <si>
    <t xml:space="preserve">Vigas </t>
  </si>
  <si>
    <t>MOBILIZAÇÃO E DESMOBILIZAÇÃO</t>
  </si>
  <si>
    <t>ESTACAS</t>
  </si>
  <si>
    <t>Comprimento (dm)</t>
  </si>
  <si>
    <t>Largura (dm)</t>
  </si>
  <si>
    <t>Altura/Espessura (dm)</t>
  </si>
  <si>
    <t>Aparelho neoprene</t>
  </si>
  <si>
    <t>Volume Total (dm³)</t>
  </si>
  <si>
    <t>Tubo 75mm</t>
  </si>
  <si>
    <t>DATA:</t>
  </si>
  <si>
    <t xml:space="preserve">FORMA DE EXECUÇÃO: </t>
  </si>
  <si>
    <t>1.1.3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</si>
  <si>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</si>
  <si>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</si>
  <si>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</si>
  <si>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</si>
  <si>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</si>
  <si>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</si>
  <si>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</si>
  <si>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</si>
  <si>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1.6.6</t>
  </si>
  <si>
    <t>1.6.7</t>
  </si>
  <si>
    <t>1.7.2</t>
  </si>
  <si>
    <t>1.7.3</t>
  </si>
  <si>
    <t>1.7.4</t>
  </si>
  <si>
    <t>1.7.5</t>
  </si>
  <si>
    <t>1.7.6</t>
  </si>
  <si>
    <t>1.7.8</t>
  </si>
  <si>
    <t>1.7.9</t>
  </si>
  <si>
    <t>1.7.10</t>
  </si>
  <si>
    <t>ESCAVAÇÃO MECANIZADA DE VALA COM PROF. ATÉ 1,5 M (MÉDIA MONTANTE E JUSANTE/UMA COMPOSIÇÃO POR TRECHO), ESCAVADEIRA (0,8 M3), LARG. DE 1,5 M A 2,5 M, EM SOLO DE 1A CATEGORIA, EM LOCAIS COM ALTO NÍVEL DE INTERFERÊNCIA. AF_09/2024</t>
  </si>
  <si>
    <t>ESCAVAÇÃO MECANIZADA DE VALA COM PROF. MAIOR QUE 1,50 M ATÉ 3,0 M (MÉDIA MONTANTE E JUSANTE/UMA COMPOSIÇÃO POR TRECHO), ESCAVADEIRA (1,2 M3), LARG. DE 1,5 M A 2,5 M, EM SOLO DE 1A CATEGORIA, EM LOCAIS COM ALTO NÍVEL DE INTERFERÊNCIA. AF_09/2024</t>
  </si>
  <si>
    <t>REATERRO MECANIZADO DE VALA COM MINICARREGADEIRA, COM COMPACTADOR DE SOLOS DE PERCUSSÃO. AF_08/2023</t>
  </si>
  <si>
    <t>CARGA, MANOBRA E DESCARGA DE SOLOS E MATERIAIS GRANULARES EM CAMINHÃO BASCULANTE 18 M³ - CARGA COM PÁ CARREGADEIRA (CAÇAMBA DE 1,7 A 2,8 M³ / 128 HP) E DESCARGA LIVRE (UNIDADE: M3). AF_07/2020</t>
  </si>
  <si>
    <t>O reaterro será realizado apenas na região das cortinas de concreto, sendo o material excedente descartado em bota-fora</t>
  </si>
  <si>
    <t>Volume Total  (m³)</t>
  </si>
  <si>
    <t>Volume Total x Distância (m³xKM)</t>
  </si>
  <si>
    <t>LOCAÇÃO CONVENCIONAL DE OBRA, UTILIZANDO GABARITO DE TÁBUAS CORRIDAS PONTALETADAS A CADA 1,50M - 2 UTILIZAÇÕES. AF_03/2024</t>
  </si>
  <si>
    <t>ESCAVAÇÃO MANUAL DE VALA. AF_09/2024</t>
  </si>
  <si>
    <t>ESTACA BROCA DE CONCRETO, DIÂMETRO DE 30CM, ESCAVAÇÃO MANUAL COM TRADO CONCHA, INTEIRAMENTE ARMADA. AF_05/2020</t>
  </si>
  <si>
    <t>PREPARO DE FUNDO DE VALA COM LARGURA MENOR QUE 1,5 M (ACERTO DO SOLO NATURAL). AF_08/2020</t>
  </si>
  <si>
    <t>LASTRO DE CONCRETO MAGRO, APLICADO EM BLOCOS DE COROAMENTO OU SAPATAS. AF_01/2024</t>
  </si>
  <si>
    <t>CORTE E DOBRA DE AÇO CA-50, DIÂMETRO DE 6,3 MM. AF_06/2022</t>
  </si>
  <si>
    <t>CORTE E DOBRA DE AÇO CA-50, DIÂMETRO DE 8,0 MM. AF_06/2022</t>
  </si>
  <si>
    <t>CORTE E DOBRA DE AÇO CA-50, DIÂMETRO DE 10,0 MM. AF_06/2022</t>
  </si>
  <si>
    <t>CORTE E DOBRA DE AÇO CA-50, DIÂMETRO DE 16,0 MM. AF_06/2022</t>
  </si>
  <si>
    <t>FABRICAÇÃO, MONTAGEM E DESMONTAGEM DE FÔRMA PARA BLOCO DE COROAMENTO, EM MADEIRA SERRADA, E=25 MM, 4 UTILIZAÇÕES. AF_01/2024</t>
  </si>
  <si>
    <t>LANÇAMENTO COM USO DE BALDES, ADENSAMENTO E ACABAMENTO DE CONCRETO EM ESTRUTURAS. AF_02/2022</t>
  </si>
  <si>
    <t>IMPERMEABILIZAÇÃO DE SUPERFÍCIE COM EMULSÃO ASFÁLTICA, 2 DEMÃOS. AF_09/2023</t>
  </si>
  <si>
    <t>REATERRO MANUAL DE VALAS, COM PLACA VIBRATÓRIA. AF_08/2023</t>
  </si>
  <si>
    <t>CONCRETO FCK = 30MPA, TRAÇO 1:2,1:2,5 (EM MASSA SECA DE CIMENTO/ AREIA MÉDIA/ BRITA 1) - PREPARO MECÂNICO COM BETONEIRA 600 L. AF_05/2021</t>
  </si>
  <si>
    <t>FABRICAÇÃO DE FÔRMA PARA VIGAS, EM CHAPA DE MADEIRA COMPENSADA RESINADA, E = 17 MM. AF_09/2020</t>
  </si>
  <si>
    <t>TUBO PVC, SÉRIE R, ÁGUA PLUVIAL, DN 75 MM, FORNECIDO E INSTALADO EM CONDUTORES VERTICAIS DE ÁGUAS PLUVIAIS. AF_06/2022</t>
  </si>
  <si>
    <t>ESCORAMENTO DE FÔRMAS DE LAJE EM MADEIRA NÃO APARELHADA, PÉ-DIREITO SIMPLES, INCLUSO TRAVAMENTO, 4 UTILIZAÇÕES. AF_09/2020</t>
  </si>
  <si>
    <t>CORTE E DOBRA DE AÇO CA-50, DIÂMETRO DE 25,0 MM. AF_06/2022</t>
  </si>
  <si>
    <t xml:space="preserve">Cortinas </t>
  </si>
  <si>
    <t>Aparelho de apoio de neoprene fretado para estruturas moldadas no local - fornecimento e instalação</t>
  </si>
  <si>
    <t xml:space="preserve">PLACA PONTE ESTREITA </t>
  </si>
  <si>
    <t>FORNECIMENTO E INSTALAÇÃO DE PLACA DE OBRA COM CHAPA GALVANIZADA E ESTRUTURA DE MADEIRA. AF_03/2022_PS</t>
  </si>
  <si>
    <t>BARRACÃO DE OBRA, EM CHAPA DE COMPENSADO RESINADO, INCLUSIVE INSTALAÇÕES SANITÁRIAS E MOBILIÁRIO - PADRÃO DER-MG</t>
  </si>
  <si>
    <t>LIGAÇÃO PROVISÓRIA COM ENTRADA DE ENERGIA AÉREA, PADRÃO CEMIG, CARGA INSTALADA DE 15,1KVA ATÉ 30KVA, TRIFÁSICO, COM SAÍDA SUBTERRÂNEA, INCLUSIVE POSTE, CAIXA PARA MEDIDOR, DISJUNTOR, BARRAMENTO, ATERRAMENTO E ACESSÓRIOS</t>
  </si>
  <si>
    <t>MOBILIZAÇÃO E DESMOBILIZAÇÃO OBRA DISTANTE DE CENTRO URBANO COM VALOR ATÉ 1.000.000,00</t>
  </si>
  <si>
    <t>%</t>
  </si>
  <si>
    <t>Utilizou-se forma de laje nas cortinas devido à inexistência de forma apropriada. Por se tratar de estrutura em concreto maciço, essa solução foi mais viável</t>
  </si>
  <si>
    <t>Placa em aço - película I + I - chapa recuperada - fornecimento e implantação</t>
  </si>
  <si>
    <t>LAJE PRÉ-MOLDADA CLASSE 45 TON (FORNECIMENTO E INSTALAÇÃO)</t>
  </si>
  <si>
    <t>PLANILHA ORÇAMENTÁRIA DE CUSTOS</t>
  </si>
  <si>
    <t>(    )</t>
  </si>
  <si>
    <t>DIRETA</t>
  </si>
  <si>
    <t>( X )</t>
  </si>
  <si>
    <t>INDIRETA</t>
  </si>
  <si>
    <t>COMPOSIÇÃO/DEMONSTRATIVO DE BDI - EM ANEXO</t>
  </si>
  <si>
    <t>% ISS MUNICIPAL:</t>
  </si>
  <si>
    <t>ITEM</t>
  </si>
  <si>
    <t>CÓDIGO</t>
  </si>
  <si>
    <t>DESCRIÇÃO</t>
  </si>
  <si>
    <t>FONTE</t>
  </si>
  <si>
    <t>UNID</t>
  </si>
  <si>
    <t>QUANTIDADE</t>
  </si>
  <si>
    <t>PREÇO UNITÁRIO R$</t>
  </si>
  <si>
    <t>PREÇO TOTAL R$</t>
  </si>
  <si>
    <t>SEM BDI</t>
  </si>
  <si>
    <t>COM BDI</t>
  </si>
  <si>
    <t>1</t>
  </si>
  <si>
    <t>103689</t>
  </si>
  <si>
    <t>SINAPI</t>
  </si>
  <si>
    <t>M2</t>
  </si>
  <si>
    <t>ED-50135</t>
  </si>
  <si>
    <t>SETOP</t>
  </si>
  <si>
    <t>m2</t>
  </si>
  <si>
    <t>ED-50151</t>
  </si>
  <si>
    <t>un</t>
  </si>
  <si>
    <t>ED-50389</t>
  </si>
  <si>
    <t>COMP-ADM</t>
  </si>
  <si>
    <t>AMINISTRAÇÃO LOCAL</t>
  </si>
  <si>
    <t>PRÓPRIA</t>
  </si>
  <si>
    <t>MêS</t>
  </si>
  <si>
    <t>90082</t>
  </si>
  <si>
    <t>M3</t>
  </si>
  <si>
    <t>102278</t>
  </si>
  <si>
    <t>104740</t>
  </si>
  <si>
    <t>1.4.4</t>
  </si>
  <si>
    <t>100976</t>
  </si>
  <si>
    <t>1.4.5</t>
  </si>
  <si>
    <t>95425</t>
  </si>
  <si>
    <t>TRANSPORTE COM CAMINHÃO BASCULANTE DE 18 M³, EM VIA URBANA EM LEITO NATURAL (UNIDADE: M3XKM). AF_07/2020 (BOTA-FORA)</t>
  </si>
  <si>
    <t>M3XKM</t>
  </si>
  <si>
    <t>INFRAESTRUTURA (BLOCO E ESTACAS)</t>
  </si>
  <si>
    <t>105009</t>
  </si>
  <si>
    <t>M</t>
  </si>
  <si>
    <t>93358</t>
  </si>
  <si>
    <t>101176</t>
  </si>
  <si>
    <t>101616</t>
  </si>
  <si>
    <t>96616</t>
  </si>
  <si>
    <t>92801</t>
  </si>
  <si>
    <t>KG</t>
  </si>
  <si>
    <t>92802</t>
  </si>
  <si>
    <t>92805</t>
  </si>
  <si>
    <t>96534</t>
  </si>
  <si>
    <t>94972</t>
  </si>
  <si>
    <t>103670</t>
  </si>
  <si>
    <t>98557</t>
  </si>
  <si>
    <t>104737</t>
  </si>
  <si>
    <t>92803</t>
  </si>
  <si>
    <t>1.6.8</t>
  </si>
  <si>
    <t>SUPRAESTRUTURA (VIGAS, LAJES E GUARDA-RODAS)</t>
  </si>
  <si>
    <t>0307731</t>
  </si>
  <si>
    <t>SICRO NOVO</t>
  </si>
  <si>
    <t>dm³</t>
  </si>
  <si>
    <t>92265</t>
  </si>
  <si>
    <t>92798</t>
  </si>
  <si>
    <t>101792</t>
  </si>
  <si>
    <t>1.7.7</t>
  </si>
  <si>
    <t>89576</t>
  </si>
  <si>
    <t>COMP-LAJE-PONTE</t>
  </si>
  <si>
    <t>SERVIÇOS COMPLEMENTARES</t>
  </si>
  <si>
    <t>5213377</t>
  </si>
  <si>
    <t>m²</t>
  </si>
  <si>
    <t>VALOR TOTAL:</t>
  </si>
  <si>
    <t>Porcentagem (%)</t>
  </si>
  <si>
    <t xml:space="preserve">Meses </t>
  </si>
  <si>
    <t xml:space="preserve">Meses Total </t>
  </si>
  <si>
    <t>Porcentagem Total (%)</t>
  </si>
  <si>
    <t>VALOR (R$)</t>
  </si>
  <si>
    <t>MÊS 1</t>
  </si>
  <si>
    <t>MÊS 2</t>
  </si>
  <si>
    <t>MÊS 3</t>
  </si>
  <si>
    <t>Total parcela</t>
  </si>
  <si>
    <t>R$</t>
  </si>
  <si>
    <t xml:space="preserve">CRONOGRAMA FÍSICO FINANCEIRO </t>
  </si>
  <si>
    <t>2+2+1,4+1,4</t>
  </si>
  <si>
    <t>CORTE E DOBRA DE AÇO CA-50, DIÂMETRO DE 12,5 MM. AF_06/2022</t>
  </si>
  <si>
    <t>Bloco 200x140 (topo)</t>
  </si>
  <si>
    <t>Bloco 200x140 (laterais)</t>
  </si>
  <si>
    <t>Pilares 120x60</t>
  </si>
  <si>
    <t>1,2+1,2+0,6+0,6</t>
  </si>
  <si>
    <t>Altura Media (3,5+3,0)/2</t>
  </si>
  <si>
    <t>CORTE E DOBRA DE AÇO CA-50, DIÂMETRO DE 20,0 MM. AF_06/2022</t>
  </si>
  <si>
    <t>Vigas (Laterais 1,1 m)</t>
  </si>
  <si>
    <t>Laje (Laterais 10m)</t>
  </si>
  <si>
    <t>1.5.14</t>
  </si>
  <si>
    <t>1.5.15</t>
  </si>
  <si>
    <t>PREFEITURA MUNICIPAL DE SÃO FRANCISCO-MG</t>
  </si>
  <si>
    <t>Volume de Reaterro</t>
  </si>
  <si>
    <t>92804</t>
  </si>
  <si>
    <t>92806</t>
  </si>
  <si>
    <r>
      <rPr>
        <b/>
        <sz val="12"/>
        <rFont val="Times New Roman"/>
        <family val="1"/>
      </rPr>
      <t>REGIÃO/MÊS DE REFERÊNCIA:</t>
    </r>
    <r>
      <rPr>
        <sz val="12"/>
        <rFont val="Times New Roman"/>
        <family val="1"/>
      </rPr>
      <t xml:space="preserve"> Sinapi 07/2025 Desonerado, Sicro Novo 04/2025, Setop 04/2025</t>
    </r>
  </si>
  <si>
    <t>PREFEITO MUNICIPAL DE SÃO FRANCISCO-MG</t>
  </si>
  <si>
    <t>1.1.4</t>
  </si>
  <si>
    <t>REMOÇÃO MANUAL DE PISO DE TÁBUAS, COM REAPROVEITAMENTO, INCLUSIVE AFASTAMENTO E EMPILHAMENTO, EXCLUSIVE TRANSPORTE E RETIRADA DO MATERIAL REMOVIDO NÃO REAPROVEITÁVEL</t>
  </si>
  <si>
    <t xml:space="preserve">ED-48485
</t>
  </si>
  <si>
    <t>1.1.5</t>
  </si>
  <si>
    <t>REMOÇÃO DE CERCAS E MOURÕES, DE FORMA MANUAL, SEM REAPROVEITAMENTO. AF_09/2023</t>
  </si>
  <si>
    <t>1.6.9</t>
  </si>
  <si>
    <t>Execução de Ponte em Concreto Armado com Extensão de 20 metros – Município de São Francisco/MG</t>
  </si>
  <si>
    <r>
      <rPr>
        <b/>
        <sz val="12"/>
        <rFont val="Times New Roman"/>
        <family val="1"/>
      </rPr>
      <t>OBRA:</t>
    </r>
    <r>
      <rPr>
        <sz val="12"/>
        <rFont val="Times New Roman"/>
        <family val="1"/>
      </rPr>
      <t xml:space="preserve"> Execução de Ponte em Concreto Armado com Extensão de 20 metros – Município de São Francisco/MG</t>
    </r>
  </si>
  <si>
    <t>OBRA: Execução de Ponte em Concreto Armado com Extensão de 20 metros – Município de São Francisco/MG</t>
  </si>
  <si>
    <t>Execução de Ponte em Concreto Armado com Extensão de 20 metros, no municipio de São Francisco-MG. Acompanhada de planilha orçamentária, memorial de cálculo, projetos executivos, cronograma físico-financeiro, memorial descritivo e demais documentos técnicos necessários.</t>
  </si>
  <si>
    <t>MÊS 4</t>
  </si>
  <si>
    <t>1,4+0,14+0,6+0,6</t>
  </si>
  <si>
    <t>2+1,4+2+1,4</t>
  </si>
  <si>
    <t>Bloco 200x140cm</t>
  </si>
  <si>
    <t>Vol. Concreto (m³) (CORTINAS)</t>
  </si>
  <si>
    <t>FORNECIMENTO DE CONCRETO ESTRUTURAL, USINADO, COM FCK 30MPA, INCLUSIVE LANÇAMENTO, ADENSAMENTO E ACABAMENTO</t>
  </si>
  <si>
    <t>ED-49631</t>
  </si>
  <si>
    <t>FABRICAÇÃO, MONTAGEM E DESMONTAGEM DE FÔRMA PARA CORTINA DE CONTENÇÃO, EM CHAPA DE MADEIRA COMPENSADA PLASTIFICADA, E = 18 MM, 10 UTILIZAÇÕES. AF_11/2024</t>
  </si>
  <si>
    <t>FABRICAÇÃO DE FÔRMA PARA PILARES E ESTRUTURAS SIMILARES, EM CHAPA DE MADEIRA COMPENSADA PLASTIFICADA, E = 18 MM. AF_09/2020</t>
  </si>
  <si>
    <t>PONTE EM CONCRETO ARMADO (PONTE TINGUIS)</t>
  </si>
  <si>
    <t xml:space="preserve">MIGUEL PAULO SOUZA FILHO </t>
  </si>
  <si>
    <t xml:space="preserve">MIGUEL PAULO SOUSA FILHO </t>
  </si>
  <si>
    <r>
      <rPr>
        <b/>
        <sz val="12"/>
        <rFont val="Times New Roman"/>
        <family val="1"/>
      </rPr>
      <t>LOCAL:</t>
    </r>
    <r>
      <rPr>
        <sz val="12"/>
        <rFont val="Times New Roman"/>
        <family val="1"/>
      </rPr>
      <t xml:space="preserve"> Zona Rural do Municpio de São Francisco-MG</t>
    </r>
  </si>
  <si>
    <t>Zona Rural do Municpio de São Francisco-MG</t>
  </si>
  <si>
    <t>LOCAL: Zona Ruaal do Municpio de São Francisco-MG</t>
  </si>
  <si>
    <t>COMPOSIÇÃO PRÓPRIAS</t>
  </si>
  <si>
    <t>COMP-ADM AMINISTRAÇÃO LOCAL (MêS)</t>
  </si>
  <si>
    <t>Mão de Obra</t>
  </si>
  <si>
    <t>COEFICIENTE</t>
  </si>
  <si>
    <t>PREÇO UNITÁRIO</t>
  </si>
  <si>
    <t>00040818</t>
  </si>
  <si>
    <t>ENCARREGADO GERAL DE OBRAS (MENSALISTA)</t>
  </si>
  <si>
    <t>MES</t>
  </si>
  <si>
    <t>TOTAL Mão de Obra:</t>
  </si>
  <si>
    <t>Mão de Obra com Encargos Complementares</t>
  </si>
  <si>
    <t>93565</t>
  </si>
  <si>
    <t>ENGENHEIRO CIVIL DE OBRA JUNIOR COM ENCARGOS COMPLEMENTARES</t>
  </si>
  <si>
    <t>TOTAL Mão de Obra com Encargos Complementares:</t>
  </si>
  <si>
    <t>VALOR:</t>
  </si>
  <si>
    <t>COMP-LAJE-PONTE LAJE PRÉ-MOLDADA CLASSE 45 TON (FORNECIMENTO E INSTALAÇÃO) (M2)</t>
  </si>
  <si>
    <t>Material</t>
  </si>
  <si>
    <t>00039995</t>
  </si>
  <si>
    <t>POLIESTIRENO EXPANDIDO/EPS (ISOPOR), TIPO 2F, BLOCO</t>
  </si>
  <si>
    <t>TOTAL Material:</t>
  </si>
  <si>
    <t>88316</t>
  </si>
  <si>
    <t>SERVENTE COM ENCARGOS COMPLEMENTARES</t>
  </si>
  <si>
    <t>H</t>
  </si>
  <si>
    <t>Serviço</t>
  </si>
  <si>
    <t>92763</t>
  </si>
  <si>
    <t>ARMAÇÃO DE PILAR OU VIGA DE ESTRUTURA CONVENCIONAL DE CONCRETO ARMADO UTILIZANDO AÇO CA-50 DE 12,5 MM - MONTAGEM. AF_06/2022</t>
  </si>
  <si>
    <t>92267</t>
  </si>
  <si>
    <t>FABRICAÇÃO DE FÔRMA PARA LAJES, EM CHAPA DE MADEIRA COMPENSADA RESINADA, E = 17 MM. AF_09/2020</t>
  </si>
  <si>
    <t>TOTAL Serviço:</t>
  </si>
  <si>
    <t>MIGUEL PAULO SOUZA FILHO</t>
  </si>
  <si>
    <t>REGIÃO/MÊS DE REFERÊNCIA: Sinapi 07/2025 Desonerado, Sicro Novo 04/2025, Setop 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</si>
</sst>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\R\$\ #,##0.00"/>
    <numFmt numFmtId="166" formatCode="_-[$R$-416]\ * #,##0.00_-;\-[$R$-416]\ * #,##0.00_-;_-[$R$-416]\ * &quot;-&quot;??_-;_-@_-"/>
    <numFmt numFmtId="167" formatCode="0.0%"/>
    <numFmt numFmtId="168" formatCode="#,##0.00000000"/>
  </numFmts>
  <fonts count="17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u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0"/>
      <name val="Times "/>
    </font>
    <font>
      <b/>
      <u/>
      <sz val="16"/>
      <name val="Times New Roman"/>
      <family val="1"/>
    </font>
    <font>
      <sz val="8"/>
      <name val="Calibri"/>
      <family val="2"/>
      <scheme val="minor"/>
    </font>
    <font>
      <b/>
      <u/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6666"/>
        <bgColor indexed="64"/>
      </patternFill>
    </fill>
    <fill>
      <patternFill patternType="solid">
        <fgColor rgb="FFC9EDFF"/>
        <bgColor indexed="64"/>
      </patternFill>
    </fill>
    <fill>
      <patternFill patternType="solid">
        <fgColor rgb="FFCCCCCC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57">
    <xf numFmtId="0" fontId="0" fillId="0" borderId="0" xfId="0"/>
    <xf numFmtId="9" fontId="1" fillId="0" borderId="1" xfId="1" applyFont="1" applyBorder="1" applyAlignment="1">
      <alignment horizontal="center" vertical="center"/>
    </xf>
    <xf numFmtId="0" fontId="0" fillId="0" borderId="11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4" fontId="0" fillId="0" borderId="0" xfId="0" applyNumberFormat="1"/>
    <xf numFmtId="9" fontId="0" fillId="0" borderId="0" xfId="1" applyFont="1"/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0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0" fontId="1" fillId="0" borderId="8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wrapText="1"/>
    </xf>
    <xf numFmtId="2" fontId="1" fillId="0" borderId="0" xfId="0" applyNumberFormat="1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0" xfId="0" applyAlignment="1">
      <alignment wrapText="1"/>
    </xf>
    <xf numFmtId="0" fontId="1" fillId="0" borderId="8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0" fontId="7" fillId="2" borderId="0" xfId="0" applyNumberFormat="1" applyFont="1" applyFill="1" applyBorder="1" applyAlignment="1">
      <alignment horizontal="center" vertical="center"/>
    </xf>
    <xf numFmtId="10" fontId="3" fillId="3" borderId="0" xfId="1" applyNumberFormat="1" applyFont="1" applyFill="1" applyBorder="1" applyAlignment="1">
      <alignment horizontal="center" vertical="center"/>
    </xf>
    <xf numFmtId="0" fontId="11" fillId="0" borderId="18" xfId="0" applyFont="1" applyBorder="1" applyAlignment="1">
      <alignment horizontal="left" vertical="center" wrapText="1"/>
    </xf>
    <xf numFmtId="4" fontId="11" fillId="0" borderId="18" xfId="0" applyNumberFormat="1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4" borderId="4" xfId="0" applyFont="1" applyFill="1" applyBorder="1" applyAlignment="1">
      <alignment horizontal="left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/>
    </xf>
    <xf numFmtId="0" fontId="7" fillId="4" borderId="7" xfId="0" applyFont="1" applyFill="1" applyBorder="1" applyAlignment="1"/>
    <xf numFmtId="0" fontId="1" fillId="5" borderId="8" xfId="0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 wrapText="1"/>
    </xf>
    <xf numFmtId="10" fontId="3" fillId="4" borderId="8" xfId="1" applyNumberFormat="1" applyFont="1" applyFill="1" applyBorder="1" applyAlignment="1">
      <alignment horizontal="center" vertical="center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 applyProtection="1">
      <alignment horizontal="center" vertical="center" wrapText="1"/>
      <protection locked="0"/>
    </xf>
    <xf numFmtId="165" fontId="2" fillId="4" borderId="18" xfId="0" applyNumberFormat="1" applyFont="1" applyFill="1" applyBorder="1" applyAlignment="1">
      <alignment horizontal="center" vertical="center" wrapText="1"/>
    </xf>
    <xf numFmtId="0" fontId="2" fillId="4" borderId="29" xfId="0" applyFont="1" applyFill="1" applyBorder="1" applyAlignment="1" applyProtection="1">
      <alignment horizontal="center" vertical="center" wrapText="1"/>
      <protection locked="0"/>
    </xf>
    <xf numFmtId="0" fontId="2" fillId="4" borderId="3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165" fontId="10" fillId="0" borderId="18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165" fontId="10" fillId="0" borderId="23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 wrapText="1"/>
    </xf>
    <xf numFmtId="165" fontId="11" fillId="0" borderId="23" xfId="0" applyNumberFormat="1" applyFont="1" applyBorder="1" applyAlignment="1">
      <alignment horizontal="center" vertical="center" wrapText="1"/>
    </xf>
    <xf numFmtId="2" fontId="11" fillId="0" borderId="18" xfId="1" applyNumberFormat="1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65" fontId="10" fillId="4" borderId="23" xfId="0" applyNumberFormat="1" applyFont="1" applyFill="1" applyBorder="1" applyAlignment="1">
      <alignment horizontal="center" vertical="center" wrapText="1"/>
    </xf>
    <xf numFmtId="165" fontId="11" fillId="0" borderId="18" xfId="0" applyNumberFormat="1" applyFont="1" applyBorder="1" applyAlignment="1">
      <alignment horizontal="right" vertical="center" wrapText="1"/>
    </xf>
    <xf numFmtId="0" fontId="11" fillId="0" borderId="18" xfId="0" applyFont="1" applyBorder="1" applyAlignment="1">
      <alignment horizontal="center" wrapText="1"/>
    </xf>
    <xf numFmtId="165" fontId="0" fillId="0" borderId="0" xfId="0" applyNumberFormat="1"/>
    <xf numFmtId="10" fontId="11" fillId="0" borderId="18" xfId="1" applyNumberFormat="1" applyFont="1" applyBorder="1" applyAlignment="1">
      <alignment horizontal="center" vertical="center" wrapText="1"/>
    </xf>
    <xf numFmtId="165" fontId="11" fillId="0" borderId="24" xfId="0" applyNumberFormat="1" applyFont="1" applyBorder="1" applyAlignment="1">
      <alignment horizontal="center" vertical="center" wrapText="1"/>
    </xf>
    <xf numFmtId="165" fontId="2" fillId="4" borderId="19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7" fontId="11" fillId="0" borderId="25" xfId="1" applyNumberFormat="1" applyFont="1" applyBorder="1" applyAlignment="1">
      <alignment horizontal="center" vertical="center" wrapText="1"/>
    </xf>
    <xf numFmtId="9" fontId="11" fillId="0" borderId="1" xfId="1" applyFont="1" applyBorder="1" applyAlignment="1">
      <alignment horizontal="center" vertical="center" wrapText="1"/>
    </xf>
    <xf numFmtId="9" fontId="1" fillId="0" borderId="1" xfId="1" applyFont="1" applyBorder="1" applyAlignment="1" applyProtection="1">
      <alignment horizontal="center" vertical="center" wrapText="1"/>
      <protection locked="0"/>
    </xf>
    <xf numFmtId="10" fontId="2" fillId="4" borderId="19" xfId="1" applyNumberFormat="1" applyFont="1" applyFill="1" applyBorder="1" applyAlignment="1">
      <alignment horizontal="center" vertical="center" wrapText="1"/>
    </xf>
    <xf numFmtId="10" fontId="2" fillId="4" borderId="18" xfId="1" applyNumberFormat="1" applyFont="1" applyFill="1" applyBorder="1" applyAlignment="1">
      <alignment horizontal="center" vertical="center" wrapText="1"/>
    </xf>
    <xf numFmtId="10" fontId="3" fillId="4" borderId="8" xfId="0" applyNumberFormat="1" applyFont="1" applyFill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2" fillId="4" borderId="37" xfId="0" applyFont="1" applyFill="1" applyBorder="1" applyAlignment="1" applyProtection="1">
      <alignment horizontal="center" vertical="center" wrapText="1"/>
      <protection locked="0"/>
    </xf>
    <xf numFmtId="0" fontId="2" fillId="4" borderId="38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/>
    <xf numFmtId="166" fontId="1" fillId="0" borderId="0" xfId="0" applyNumberFormat="1" applyFont="1" applyBorder="1" applyAlignment="1">
      <alignment horizontal="center" vertical="center"/>
    </xf>
    <xf numFmtId="0" fontId="1" fillId="0" borderId="12" xfId="0" applyFont="1" applyBorder="1"/>
    <xf numFmtId="0" fontId="0" fillId="0" borderId="12" xfId="0" applyBorder="1"/>
    <xf numFmtId="0" fontId="0" fillId="0" borderId="15" xfId="0" applyBorder="1"/>
    <xf numFmtId="2" fontId="0" fillId="0" borderId="13" xfId="0" applyNumberFormat="1" applyBorder="1" applyAlignment="1">
      <alignment wrapText="1"/>
    </xf>
    <xf numFmtId="2" fontId="0" fillId="0" borderId="14" xfId="0" applyNumberFormat="1" applyBorder="1" applyAlignment="1">
      <alignment wrapText="1"/>
    </xf>
    <xf numFmtId="0" fontId="10" fillId="6" borderId="18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justify" vertical="top" wrapText="1"/>
    </xf>
    <xf numFmtId="168" fontId="11" fillId="0" borderId="18" xfId="0" applyNumberFormat="1" applyFont="1" applyBorder="1" applyAlignment="1">
      <alignment horizontal="right" vertical="top" wrapText="1"/>
    </xf>
    <xf numFmtId="165" fontId="11" fillId="0" borderId="18" xfId="0" applyNumberFormat="1" applyFont="1" applyBorder="1" applyAlignment="1">
      <alignment horizontal="right" vertical="top" wrapText="1"/>
    </xf>
    <xf numFmtId="0" fontId="7" fillId="0" borderId="1" xfId="0" applyFont="1" applyBorder="1" applyAlignment="1">
      <alignment vertical="center"/>
    </xf>
    <xf numFmtId="0" fontId="10" fillId="6" borderId="23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top" wrapText="1"/>
    </xf>
    <xf numFmtId="165" fontId="11" fillId="0" borderId="23" xfId="0" applyNumberFormat="1" applyFont="1" applyBorder="1" applyAlignment="1">
      <alignment horizontal="right" vertical="top" wrapText="1"/>
    </xf>
    <xf numFmtId="165" fontId="10" fillId="0" borderId="23" xfId="0" applyNumberFormat="1" applyFont="1" applyBorder="1" applyAlignment="1">
      <alignment horizontal="right" vertical="top" wrapText="1"/>
    </xf>
    <xf numFmtId="4" fontId="10" fillId="0" borderId="23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wrapText="1"/>
    </xf>
    <xf numFmtId="2" fontId="1" fillId="0" borderId="0" xfId="0" applyNumberFormat="1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0" fontId="7" fillId="0" borderId="10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left" wrapText="1"/>
    </xf>
    <xf numFmtId="0" fontId="7" fillId="4" borderId="8" xfId="0" applyFont="1" applyFill="1" applyBorder="1" applyAlignment="1">
      <alignment horizontal="left" wrapText="1"/>
    </xf>
    <xf numFmtId="0" fontId="1" fillId="0" borderId="10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2" fillId="4" borderId="7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left" wrapText="1"/>
    </xf>
    <xf numFmtId="0" fontId="12" fillId="4" borderId="8" xfId="0" applyFont="1" applyFill="1" applyBorder="1" applyAlignment="1">
      <alignment horizontal="left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8" fillId="4" borderId="7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left" wrapText="1"/>
    </xf>
    <xf numFmtId="0" fontId="8" fillId="4" borderId="8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165" fontId="10" fillId="0" borderId="24" xfId="0" applyNumberFormat="1" applyFont="1" applyBorder="1" applyAlignment="1">
      <alignment horizontal="center" vertical="center" wrapText="1"/>
    </xf>
    <xf numFmtId="165" fontId="10" fillId="0" borderId="36" xfId="0" applyNumberFormat="1" applyFont="1" applyBorder="1" applyAlignment="1">
      <alignment horizontal="center" vertical="center" wrapText="1"/>
    </xf>
    <xf numFmtId="165" fontId="2" fillId="4" borderId="25" xfId="0" applyNumberFormat="1" applyFont="1" applyFill="1" applyBorder="1" applyAlignment="1">
      <alignment horizontal="center" vertical="center" wrapText="1"/>
    </xf>
    <xf numFmtId="165" fontId="2" fillId="4" borderId="36" xfId="0" applyNumberFormat="1" applyFont="1" applyFill="1" applyBorder="1" applyAlignment="1">
      <alignment horizontal="center" vertical="center" wrapText="1"/>
    </xf>
    <xf numFmtId="165" fontId="2" fillId="4" borderId="28" xfId="0" applyNumberFormat="1" applyFont="1" applyFill="1" applyBorder="1" applyAlignment="1">
      <alignment horizontal="center" vertical="center" wrapText="1"/>
    </xf>
    <xf numFmtId="165" fontId="2" fillId="4" borderId="31" xfId="0" applyNumberFormat="1" applyFont="1" applyFill="1" applyBorder="1" applyAlignment="1">
      <alignment horizontal="center" vertical="center" wrapText="1"/>
    </xf>
    <xf numFmtId="10" fontId="2" fillId="4" borderId="27" xfId="1" applyNumberFormat="1" applyFont="1" applyFill="1" applyBorder="1" applyAlignment="1">
      <alignment horizontal="center" vertical="center" wrapText="1"/>
    </xf>
    <xf numFmtId="10" fontId="2" fillId="4" borderId="30" xfId="1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3" fillId="4" borderId="20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1" fillId="0" borderId="1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right" vertical="top" wrapText="1"/>
    </xf>
    <xf numFmtId="0" fontId="10" fillId="6" borderId="22" xfId="0" applyFont="1" applyFill="1" applyBorder="1" applyAlignment="1">
      <alignment horizontal="left" vertical="center" wrapText="1"/>
    </xf>
    <xf numFmtId="0" fontId="10" fillId="6" borderId="18" xfId="0" applyFont="1" applyFill="1" applyBorder="1" applyAlignment="1">
      <alignment horizontal="left" vertical="center" wrapText="1"/>
    </xf>
    <xf numFmtId="0" fontId="10" fillId="0" borderId="18" xfId="0" applyFont="1" applyBorder="1" applyAlignment="1">
      <alignment horizontal="right" vertical="center" wrapText="1"/>
    </xf>
    <xf numFmtId="0" fontId="11" fillId="0" borderId="34" xfId="0" applyFont="1" applyBorder="1" applyAlignment="1">
      <alignment horizontal="left" vertical="top" wrapText="1"/>
    </xf>
    <xf numFmtId="0" fontId="11" fillId="0" borderId="36" xfId="0" applyFont="1" applyBorder="1" applyAlignment="1">
      <alignment horizontal="left" vertical="top" wrapText="1"/>
    </xf>
    <xf numFmtId="0" fontId="10" fillId="0" borderId="42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40" xfId="0" applyFont="1" applyBorder="1" applyAlignment="1">
      <alignment horizontal="left" vertical="center" wrapText="1"/>
    </xf>
    <xf numFmtId="0" fontId="10" fillId="0" borderId="39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</cellXfs>
  <cellStyles count="6">
    <cellStyle name="Moeda 3 2" xfId="4" xr:uid="{36A2E5C7-C771-41E4-B205-6AE14B8E446C}"/>
    <cellStyle name="Moeda 4" xfId="5" xr:uid="{FD79DDB4-802B-49AF-B004-6168D69F8588}"/>
    <cellStyle name="Normal" xfId="0" builtinId="0"/>
    <cellStyle name="Normal 6" xfId="2" xr:uid="{48E62074-22D3-46DA-93F6-F8E541CAEE2E}"/>
    <cellStyle name="Porcentagem" xfId="1" builtinId="5"/>
    <cellStyle name="Vírgula 7" xfId="3" xr:uid="{81AAFB65-ABF2-4FDB-A0FB-F8A45BBBE1BF}"/>
  </cellStyles>
  <dxfs count="0"/>
  <tableStyles count="0" defaultTableStyle="TableStyleMedium2" defaultPivotStyle="PivotStyleLight16"/>
  <colors>
    <mruColors>
      <color rgb="FF006666"/>
      <color rgb="FFC9EDFF"/>
      <color rgb="FF66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9D27E-41C9-49B0-84AB-D086810DCB63}">
  <sheetPr>
    <pageSetUpPr fitToPage="1"/>
  </sheetPr>
  <dimension ref="A1:N78"/>
  <sheetViews>
    <sheetView view="pageBreakPreview" zoomScaleNormal="100" zoomScaleSheetLayoutView="100" zoomScalePageLayoutView="70" workbookViewId="0">
      <selection activeCell="A5" sqref="A5:F5"/>
    </sheetView>
  </sheetViews>
  <sheetFormatPr defaultRowHeight="15"/>
  <cols>
    <col min="2" max="2" width="14.140625" customWidth="1"/>
    <col min="3" max="3" width="95.42578125" customWidth="1"/>
    <col min="4" max="4" width="12.5703125" customWidth="1"/>
    <col min="5" max="5" width="11.28515625" customWidth="1"/>
    <col min="6" max="6" width="18.140625" style="13" customWidth="1"/>
    <col min="7" max="10" width="17.140625" style="13" customWidth="1"/>
    <col min="12" max="12" width="10.140625" hidden="1" customWidth="1"/>
    <col min="13" max="13" width="0" hidden="1" customWidth="1"/>
    <col min="14" max="14" width="16.42578125" customWidth="1"/>
  </cols>
  <sheetData>
    <row r="1" spans="1:10" ht="57" customHeight="1">
      <c r="A1" s="130" t="s">
        <v>169</v>
      </c>
      <c r="B1" s="131"/>
      <c r="C1" s="131"/>
      <c r="D1" s="131"/>
      <c r="E1" s="131"/>
      <c r="F1" s="131"/>
      <c r="G1" s="131"/>
      <c r="H1" s="131"/>
      <c r="I1" s="131"/>
      <c r="J1" s="132"/>
    </row>
    <row r="2" spans="1:10" ht="15.75">
      <c r="A2" s="116" t="s">
        <v>265</v>
      </c>
      <c r="B2" s="117"/>
      <c r="C2" s="117"/>
      <c r="D2" s="117"/>
      <c r="E2" s="117"/>
      <c r="F2" s="117"/>
      <c r="G2" s="117"/>
      <c r="H2" s="117"/>
      <c r="I2" s="117"/>
      <c r="J2" s="118"/>
    </row>
    <row r="3" spans="1:10" ht="15.75">
      <c r="A3" s="133" t="s">
        <v>278</v>
      </c>
      <c r="B3" s="134"/>
      <c r="C3" s="134"/>
      <c r="D3" s="134"/>
      <c r="E3" s="134"/>
      <c r="F3" s="134"/>
      <c r="G3" s="135" t="s">
        <v>112</v>
      </c>
      <c r="H3" s="135"/>
      <c r="I3" s="138">
        <f ca="1">TODAY()</f>
        <v>45894</v>
      </c>
      <c r="J3" s="139"/>
    </row>
    <row r="4" spans="1:10" ht="15.75">
      <c r="A4" s="141" t="s">
        <v>293</v>
      </c>
      <c r="B4" s="142"/>
      <c r="C4" s="142"/>
      <c r="D4" s="142"/>
      <c r="E4" s="142"/>
      <c r="F4" s="142"/>
      <c r="G4" s="136" t="s">
        <v>113</v>
      </c>
      <c r="H4" s="136"/>
      <c r="I4" s="136"/>
      <c r="J4" s="137"/>
    </row>
    <row r="5" spans="1:10" ht="15.75">
      <c r="A5" s="119" t="s">
        <v>269</v>
      </c>
      <c r="B5" s="120"/>
      <c r="C5" s="120"/>
      <c r="D5" s="120"/>
      <c r="E5" s="120"/>
      <c r="F5" s="120"/>
      <c r="G5" s="8" t="s">
        <v>170</v>
      </c>
      <c r="H5" s="9" t="s">
        <v>171</v>
      </c>
      <c r="I5" s="8" t="s">
        <v>172</v>
      </c>
      <c r="J5" s="10" t="s">
        <v>173</v>
      </c>
    </row>
    <row r="6" spans="1:10" ht="31.5">
      <c r="A6" s="119" t="s">
        <v>174</v>
      </c>
      <c r="B6" s="120"/>
      <c r="C6" s="120"/>
      <c r="D6" s="120"/>
      <c r="E6" s="120"/>
      <c r="F6" s="120"/>
      <c r="G6" s="11" t="s">
        <v>175</v>
      </c>
      <c r="H6" s="12">
        <v>0.03</v>
      </c>
      <c r="I6" s="8" t="s">
        <v>13</v>
      </c>
      <c r="J6" s="45">
        <v>0.29349999999999998</v>
      </c>
    </row>
    <row r="7" spans="1:10">
      <c r="A7" s="126"/>
      <c r="B7" s="127"/>
      <c r="C7" s="127"/>
      <c r="D7" s="127"/>
      <c r="E7" s="127"/>
      <c r="F7" s="127"/>
      <c r="G7" s="127"/>
      <c r="H7" s="127"/>
      <c r="I7" s="127"/>
      <c r="J7" s="128"/>
    </row>
    <row r="8" spans="1:10" ht="15.75">
      <c r="A8" s="121" t="s">
        <v>176</v>
      </c>
      <c r="B8" s="123" t="s">
        <v>177</v>
      </c>
      <c r="C8" s="123" t="s">
        <v>178</v>
      </c>
      <c r="D8" s="123" t="s">
        <v>179</v>
      </c>
      <c r="E8" s="123" t="s">
        <v>180</v>
      </c>
      <c r="F8" s="123" t="s">
        <v>181</v>
      </c>
      <c r="G8" s="123" t="s">
        <v>182</v>
      </c>
      <c r="H8" s="123"/>
      <c r="I8" s="123" t="s">
        <v>183</v>
      </c>
      <c r="J8" s="140"/>
    </row>
    <row r="9" spans="1:10" ht="15.75">
      <c r="A9" s="122"/>
      <c r="B9" s="124"/>
      <c r="C9" s="124"/>
      <c r="D9" s="124"/>
      <c r="E9" s="124"/>
      <c r="F9" s="124"/>
      <c r="G9" s="43" t="s">
        <v>184</v>
      </c>
      <c r="H9" s="43" t="s">
        <v>185</v>
      </c>
      <c r="I9" s="43" t="s">
        <v>184</v>
      </c>
      <c r="J9" s="44" t="s">
        <v>185</v>
      </c>
    </row>
    <row r="10" spans="1:10" ht="15.75">
      <c r="A10" s="62" t="s">
        <v>186</v>
      </c>
      <c r="B10" s="129" t="s">
        <v>290</v>
      </c>
      <c r="C10" s="129"/>
      <c r="D10" s="129"/>
      <c r="E10" s="129"/>
      <c r="F10" s="129"/>
      <c r="G10" s="129"/>
      <c r="H10" s="129"/>
      <c r="I10" s="61">
        <f>ROUND(SUM(I11,I17,I19,I21,I27,I43,I53,I63),2)</f>
        <v>309380.68</v>
      </c>
      <c r="J10" s="63">
        <f>ROUND(SUM(J11,J17,J19,J21,J27,J43,J53,J63),2)</f>
        <v>400177.95</v>
      </c>
    </row>
    <row r="11" spans="1:10" ht="15.75">
      <c r="A11" s="62" t="s">
        <v>17</v>
      </c>
      <c r="B11" s="129" t="s">
        <v>20</v>
      </c>
      <c r="C11" s="129"/>
      <c r="D11" s="129"/>
      <c r="E11" s="129"/>
      <c r="F11" s="129"/>
      <c r="G11" s="129"/>
      <c r="H11" s="129"/>
      <c r="I11" s="61">
        <f>ROUND(SUM(I12:I16),2)</f>
        <v>13207.56</v>
      </c>
      <c r="J11" s="63">
        <f>ROUND(SUM(J12:J16),2)</f>
        <v>17084.34</v>
      </c>
    </row>
    <row r="12" spans="1:10" ht="31.5">
      <c r="A12" s="64" t="s">
        <v>18</v>
      </c>
      <c r="B12" s="32" t="s">
        <v>187</v>
      </c>
      <c r="C12" s="30" t="s">
        <v>161</v>
      </c>
      <c r="D12" s="32" t="s">
        <v>188</v>
      </c>
      <c r="E12" s="32" t="s">
        <v>189</v>
      </c>
      <c r="F12" s="31">
        <f>'MEMÓRIA DE CÁLCULO '!J13</f>
        <v>4.5</v>
      </c>
      <c r="G12" s="71">
        <v>498.55</v>
      </c>
      <c r="H12" s="33">
        <f>ROUND(SUM(G12+(G12*$J$6)),2)</f>
        <v>644.87</v>
      </c>
      <c r="I12" s="33">
        <f>ROUND(SUM(F12*G12),2)</f>
        <v>2243.48</v>
      </c>
      <c r="J12" s="65">
        <f>ROUND(SUM(F12*H12),2)</f>
        <v>2901.92</v>
      </c>
    </row>
    <row r="13" spans="1:10" ht="31.5">
      <c r="A13" s="64" t="s">
        <v>24</v>
      </c>
      <c r="B13" s="32" t="s">
        <v>190</v>
      </c>
      <c r="C13" s="30" t="s">
        <v>162</v>
      </c>
      <c r="D13" s="32" t="s">
        <v>191</v>
      </c>
      <c r="E13" s="32" t="s">
        <v>192</v>
      </c>
      <c r="F13" s="31">
        <f>'MEMÓRIA DE CÁLCULO '!J18</f>
        <v>12</v>
      </c>
      <c r="G13" s="71">
        <v>641.20000000000005</v>
      </c>
      <c r="H13" s="33">
        <f t="shared" ref="H13:H26" si="0">ROUND(SUM(G13+(G13*$J$6)),2)</f>
        <v>829.39</v>
      </c>
      <c r="I13" s="33">
        <f t="shared" ref="I13:I14" si="1">ROUND(SUM(F13*G13),2)</f>
        <v>7694.4</v>
      </c>
      <c r="J13" s="65">
        <f t="shared" ref="J13:J14" si="2">ROUND(SUM(F13*H13),2)</f>
        <v>9952.68</v>
      </c>
    </row>
    <row r="14" spans="1:10" ht="63">
      <c r="A14" s="64" t="s">
        <v>114</v>
      </c>
      <c r="B14" s="32" t="s">
        <v>193</v>
      </c>
      <c r="C14" s="30" t="s">
        <v>163</v>
      </c>
      <c r="D14" s="32" t="s">
        <v>191</v>
      </c>
      <c r="E14" s="32" t="s">
        <v>194</v>
      </c>
      <c r="F14" s="31">
        <f>'MEMÓRIA DE CÁLCULO '!J23</f>
        <v>1</v>
      </c>
      <c r="G14" s="71">
        <v>1028.8800000000001</v>
      </c>
      <c r="H14" s="33">
        <f t="shared" si="0"/>
        <v>1330.86</v>
      </c>
      <c r="I14" s="33">
        <f t="shared" si="1"/>
        <v>1028.8800000000001</v>
      </c>
      <c r="J14" s="65">
        <f t="shared" si="2"/>
        <v>1330.86</v>
      </c>
    </row>
    <row r="15" spans="1:10" ht="47.25">
      <c r="A15" s="64" t="s">
        <v>271</v>
      </c>
      <c r="B15" s="72" t="s">
        <v>273</v>
      </c>
      <c r="C15" s="30" t="s">
        <v>272</v>
      </c>
      <c r="D15" s="32" t="s">
        <v>191</v>
      </c>
      <c r="E15" s="32" t="s">
        <v>192</v>
      </c>
      <c r="F15" s="31">
        <f>'MEMÓRIA DE CÁLCULO '!J28</f>
        <v>72</v>
      </c>
      <c r="G15" s="71">
        <v>25.85</v>
      </c>
      <c r="H15" s="33">
        <f t="shared" ref="H15:H16" si="3">ROUND(SUM(G15+(G15*$J$6)),2)</f>
        <v>33.44</v>
      </c>
      <c r="I15" s="33">
        <f t="shared" ref="I15" si="4">ROUND(SUM(F15*G15),2)</f>
        <v>1861.2</v>
      </c>
      <c r="J15" s="65">
        <f t="shared" ref="J15" si="5">ROUND(SUM(F15*H15),2)</f>
        <v>2407.6799999999998</v>
      </c>
    </row>
    <row r="16" spans="1:10" ht="31.5">
      <c r="A16" s="64" t="s">
        <v>274</v>
      </c>
      <c r="B16" s="72">
        <v>104800</v>
      </c>
      <c r="C16" s="30" t="s">
        <v>275</v>
      </c>
      <c r="D16" s="32" t="s">
        <v>188</v>
      </c>
      <c r="E16" s="32" t="s">
        <v>212</v>
      </c>
      <c r="F16" s="31">
        <f>'MEMÓRIA DE CÁLCULO '!J33</f>
        <v>40</v>
      </c>
      <c r="G16" s="71">
        <v>9.49</v>
      </c>
      <c r="H16" s="33">
        <f t="shared" si="3"/>
        <v>12.28</v>
      </c>
      <c r="I16" s="33">
        <f t="shared" ref="I16" si="6">ROUND(SUM(F16*G16),2)</f>
        <v>379.6</v>
      </c>
      <c r="J16" s="65">
        <f t="shared" ref="J16" si="7">ROUND(SUM(F16*H16),2)</f>
        <v>491.2</v>
      </c>
    </row>
    <row r="17" spans="1:14" ht="15.75">
      <c r="A17" s="62" t="s">
        <v>23</v>
      </c>
      <c r="B17" s="129" t="s">
        <v>104</v>
      </c>
      <c r="C17" s="129"/>
      <c r="D17" s="129"/>
      <c r="E17" s="129"/>
      <c r="F17" s="129"/>
      <c r="G17" s="129"/>
      <c r="H17" s="129"/>
      <c r="I17" s="61">
        <f>ROUND(SUM(I18),2)</f>
        <v>6066.28</v>
      </c>
      <c r="J17" s="63">
        <f>ROUND(SUM(J18),2)</f>
        <v>7846.74</v>
      </c>
    </row>
    <row r="18" spans="1:14" ht="31.5">
      <c r="A18" s="64" t="s">
        <v>19</v>
      </c>
      <c r="B18" s="32" t="s">
        <v>195</v>
      </c>
      <c r="C18" s="30" t="s">
        <v>164</v>
      </c>
      <c r="D18" s="32" t="s">
        <v>191</v>
      </c>
      <c r="E18" s="32" t="s">
        <v>165</v>
      </c>
      <c r="F18" s="66">
        <f>'MEMÓRIA DE CÁLCULO '!J39</f>
        <v>2</v>
      </c>
      <c r="G18" s="33">
        <f>ROUND(N19,2)</f>
        <v>3033.14</v>
      </c>
      <c r="H18" s="33">
        <f t="shared" si="0"/>
        <v>3923.37</v>
      </c>
      <c r="I18" s="33">
        <f t="shared" ref="I18" si="8">ROUND(SUM(F18*G18),2)</f>
        <v>6066.28</v>
      </c>
      <c r="J18" s="65">
        <f t="shared" ref="J18" si="9">ROUND(SUM(F18*H18),2)</f>
        <v>7846.74</v>
      </c>
      <c r="L18" s="6">
        <f>I11+I19+I21+I27+I43+I53+I63</f>
        <v>303314.40000000002</v>
      </c>
      <c r="M18" s="7">
        <v>0.01</v>
      </c>
      <c r="N18" s="73">
        <f>ROUND(SUM(I11+I19+I21+I27+I43+I53+I63),2)</f>
        <v>303314.40000000002</v>
      </c>
    </row>
    <row r="19" spans="1:14" ht="15.75">
      <c r="A19" s="62" t="s">
        <v>27</v>
      </c>
      <c r="B19" s="129" t="s">
        <v>60</v>
      </c>
      <c r="C19" s="129"/>
      <c r="D19" s="129"/>
      <c r="E19" s="129"/>
      <c r="F19" s="129"/>
      <c r="G19" s="129"/>
      <c r="H19" s="129"/>
      <c r="I19" s="61">
        <f>ROUND(SUM(I20),2)</f>
        <v>28042.32</v>
      </c>
      <c r="J19" s="63">
        <f>ROUND(SUM(J20),2)</f>
        <v>36272.76</v>
      </c>
      <c r="N19">
        <f>N18*1%</f>
        <v>3033.1440000000002</v>
      </c>
    </row>
    <row r="20" spans="1:14" ht="15.75">
      <c r="A20" s="64" t="s">
        <v>28</v>
      </c>
      <c r="B20" s="32" t="s">
        <v>196</v>
      </c>
      <c r="C20" s="30" t="s">
        <v>197</v>
      </c>
      <c r="D20" s="32" t="s">
        <v>198</v>
      </c>
      <c r="E20" s="32" t="s">
        <v>199</v>
      </c>
      <c r="F20" s="31">
        <f>'MEMÓRIA DE CÁLCULO '!J45</f>
        <v>4</v>
      </c>
      <c r="G20" s="71">
        <v>7010.58</v>
      </c>
      <c r="H20" s="33">
        <f t="shared" si="0"/>
        <v>9068.19</v>
      </c>
      <c r="I20" s="33">
        <f t="shared" ref="I20" si="10">ROUND(SUM(F20*G20),2)</f>
        <v>28042.32</v>
      </c>
      <c r="J20" s="65">
        <f t="shared" ref="J20" si="11">ROUND(SUM(F20*H20),2)</f>
        <v>36272.76</v>
      </c>
    </row>
    <row r="21" spans="1:14" ht="15.75">
      <c r="A21" s="62" t="s">
        <v>29</v>
      </c>
      <c r="B21" s="129" t="s">
        <v>59</v>
      </c>
      <c r="C21" s="129"/>
      <c r="D21" s="129"/>
      <c r="E21" s="129"/>
      <c r="F21" s="129"/>
      <c r="G21" s="129"/>
      <c r="H21" s="129"/>
      <c r="I21" s="61">
        <f>ROUND(SUM(I22:I26),2)</f>
        <v>8112.97</v>
      </c>
      <c r="J21" s="63">
        <f>ROUND(SUM(J22:J26),2)</f>
        <v>10494.69</v>
      </c>
    </row>
    <row r="22" spans="1:14" ht="63">
      <c r="A22" s="64" t="s">
        <v>30</v>
      </c>
      <c r="B22" s="32" t="s">
        <v>200</v>
      </c>
      <c r="C22" s="30" t="s">
        <v>133</v>
      </c>
      <c r="D22" s="32" t="s">
        <v>188</v>
      </c>
      <c r="E22" s="32" t="s">
        <v>201</v>
      </c>
      <c r="F22" s="31">
        <f>'MEMÓRIA DE CÁLCULO '!J51</f>
        <v>96.24</v>
      </c>
      <c r="G22" s="71">
        <v>9.76</v>
      </c>
      <c r="H22" s="33">
        <f t="shared" si="0"/>
        <v>12.62</v>
      </c>
      <c r="I22" s="33">
        <f t="shared" ref="I22" si="12">ROUND(SUM(F22*G22),2)</f>
        <v>939.3</v>
      </c>
      <c r="J22" s="65">
        <f t="shared" ref="J22" si="13">ROUND(SUM(F22*H22),2)</f>
        <v>1214.55</v>
      </c>
    </row>
    <row r="23" spans="1:14" ht="63">
      <c r="A23" s="64" t="s">
        <v>31</v>
      </c>
      <c r="B23" s="32" t="s">
        <v>202</v>
      </c>
      <c r="C23" s="30" t="s">
        <v>134</v>
      </c>
      <c r="D23" s="32" t="s">
        <v>188</v>
      </c>
      <c r="E23" s="32" t="s">
        <v>201</v>
      </c>
      <c r="F23" s="31">
        <f>'MEMÓRIA DE CÁLCULO '!J56</f>
        <v>128.32</v>
      </c>
      <c r="G23" s="71">
        <v>9.1199999999999992</v>
      </c>
      <c r="H23" s="33">
        <f t="shared" si="0"/>
        <v>11.8</v>
      </c>
      <c r="I23" s="33">
        <f t="shared" ref="I23:I26" si="14">ROUND(SUM(F23*G23),2)</f>
        <v>1170.28</v>
      </c>
      <c r="J23" s="65">
        <f t="shared" ref="J23:J26" si="15">ROUND(SUM(F23*H23),2)</f>
        <v>1514.18</v>
      </c>
    </row>
    <row r="24" spans="1:14" ht="31.5">
      <c r="A24" s="64" t="s">
        <v>32</v>
      </c>
      <c r="B24" s="32" t="s">
        <v>203</v>
      </c>
      <c r="C24" s="30" t="s">
        <v>135</v>
      </c>
      <c r="D24" s="32" t="s">
        <v>188</v>
      </c>
      <c r="E24" s="32" t="s">
        <v>201</v>
      </c>
      <c r="F24" s="31">
        <f>'MEMÓRIA DE CÁLCULO '!J61</f>
        <v>199.96</v>
      </c>
      <c r="G24" s="71">
        <v>27.56</v>
      </c>
      <c r="H24" s="33">
        <f t="shared" si="0"/>
        <v>35.65</v>
      </c>
      <c r="I24" s="33">
        <f t="shared" si="14"/>
        <v>5510.9</v>
      </c>
      <c r="J24" s="65">
        <f t="shared" si="15"/>
        <v>7128.57</v>
      </c>
    </row>
    <row r="25" spans="1:14" ht="47.25">
      <c r="A25" s="64" t="s">
        <v>204</v>
      </c>
      <c r="B25" s="32" t="s">
        <v>205</v>
      </c>
      <c r="C25" s="30" t="s">
        <v>136</v>
      </c>
      <c r="D25" s="32" t="s">
        <v>188</v>
      </c>
      <c r="E25" s="32" t="s">
        <v>201</v>
      </c>
      <c r="F25" s="31">
        <f>'MEMÓRIA DE CÁLCULO '!J66</f>
        <v>24.6</v>
      </c>
      <c r="G25" s="71">
        <v>8.4700000000000006</v>
      </c>
      <c r="H25" s="33">
        <f t="shared" si="0"/>
        <v>10.96</v>
      </c>
      <c r="I25" s="33">
        <f t="shared" si="14"/>
        <v>208.36</v>
      </c>
      <c r="J25" s="65">
        <f t="shared" si="15"/>
        <v>269.62</v>
      </c>
    </row>
    <row r="26" spans="1:14" ht="31.5">
      <c r="A26" s="64" t="s">
        <v>206</v>
      </c>
      <c r="B26" s="32" t="s">
        <v>207</v>
      </c>
      <c r="C26" s="30" t="s">
        <v>208</v>
      </c>
      <c r="D26" s="32" t="s">
        <v>188</v>
      </c>
      <c r="E26" s="32" t="s">
        <v>209</v>
      </c>
      <c r="F26" s="31">
        <f>'MEMÓRIA DE CÁLCULO '!J71</f>
        <v>123</v>
      </c>
      <c r="G26" s="71">
        <v>2.31</v>
      </c>
      <c r="H26" s="33">
        <f t="shared" si="0"/>
        <v>2.99</v>
      </c>
      <c r="I26" s="33">
        <f t="shared" si="14"/>
        <v>284.13</v>
      </c>
      <c r="J26" s="65">
        <f t="shared" si="15"/>
        <v>367.77</v>
      </c>
    </row>
    <row r="27" spans="1:14" ht="15.75">
      <c r="A27" s="62" t="s">
        <v>38</v>
      </c>
      <c r="B27" s="129" t="s">
        <v>210</v>
      </c>
      <c r="C27" s="129"/>
      <c r="D27" s="129"/>
      <c r="E27" s="129"/>
      <c r="F27" s="129"/>
      <c r="G27" s="129"/>
      <c r="H27" s="129"/>
      <c r="I27" s="61">
        <f>ROUND(SUM(I28:I42),2)</f>
        <v>57373.84</v>
      </c>
      <c r="J27" s="63">
        <f>ROUND(SUM(J28:J42),2)</f>
        <v>74212.490000000005</v>
      </c>
    </row>
    <row r="28" spans="1:14" ht="31.5">
      <c r="A28" s="64" t="s">
        <v>39</v>
      </c>
      <c r="B28" s="32" t="s">
        <v>211</v>
      </c>
      <c r="C28" s="30" t="s">
        <v>140</v>
      </c>
      <c r="D28" s="32" t="s">
        <v>188</v>
      </c>
      <c r="E28" s="32" t="s">
        <v>212</v>
      </c>
      <c r="F28" s="31">
        <f>'MEMÓRIA DE CÁLCULO '!J80</f>
        <v>82.66</v>
      </c>
      <c r="G28" s="71">
        <v>85.84</v>
      </c>
      <c r="H28" s="33">
        <f t="shared" ref="H28:H42" si="16">ROUND(SUM(G28+(G28*$J$6)),2)</f>
        <v>111.03</v>
      </c>
      <c r="I28" s="33">
        <f t="shared" ref="I28" si="17">ROUND(SUM(F28*G28),2)</f>
        <v>7095.53</v>
      </c>
      <c r="J28" s="65">
        <f t="shared" ref="J28" si="18">ROUND(SUM(F28*H28),2)</f>
        <v>9177.74</v>
      </c>
    </row>
    <row r="29" spans="1:14" ht="15.75">
      <c r="A29" s="64" t="s">
        <v>40</v>
      </c>
      <c r="B29" s="32" t="s">
        <v>213</v>
      </c>
      <c r="C29" s="30" t="s">
        <v>141</v>
      </c>
      <c r="D29" s="32" t="s">
        <v>188</v>
      </c>
      <c r="E29" s="32" t="s">
        <v>201</v>
      </c>
      <c r="F29" s="31">
        <f>'MEMÓRIA DE CÁLCULO '!J88</f>
        <v>22.08</v>
      </c>
      <c r="G29" s="71">
        <v>82.75</v>
      </c>
      <c r="H29" s="33">
        <f t="shared" si="16"/>
        <v>107.04</v>
      </c>
      <c r="I29" s="33">
        <f t="shared" ref="I29:I42" si="19">ROUND(SUM(F29*G29),2)</f>
        <v>1827.12</v>
      </c>
      <c r="J29" s="65">
        <f t="shared" ref="J29:J42" si="20">ROUND(SUM(F29*H29),2)</f>
        <v>2363.44</v>
      </c>
    </row>
    <row r="30" spans="1:14" ht="31.5">
      <c r="A30" s="64" t="s">
        <v>41</v>
      </c>
      <c r="B30" s="32" t="s">
        <v>214</v>
      </c>
      <c r="C30" s="30" t="s">
        <v>142</v>
      </c>
      <c r="D30" s="32" t="s">
        <v>188</v>
      </c>
      <c r="E30" s="32" t="s">
        <v>212</v>
      </c>
      <c r="F30" s="31">
        <f>'MEMÓRIA DE CÁLCULO '!J93</f>
        <v>147.19999999999999</v>
      </c>
      <c r="G30" s="71">
        <v>148.33000000000001</v>
      </c>
      <c r="H30" s="33">
        <f t="shared" si="16"/>
        <v>191.86</v>
      </c>
      <c r="I30" s="33">
        <f t="shared" si="19"/>
        <v>21834.18</v>
      </c>
      <c r="J30" s="65">
        <f t="shared" si="20"/>
        <v>28241.79</v>
      </c>
    </row>
    <row r="31" spans="1:14" ht="31.5">
      <c r="A31" s="64" t="s">
        <v>42</v>
      </c>
      <c r="B31" s="32" t="s">
        <v>215</v>
      </c>
      <c r="C31" s="30" t="s">
        <v>143</v>
      </c>
      <c r="D31" s="32" t="s">
        <v>188</v>
      </c>
      <c r="E31" s="32" t="s">
        <v>189</v>
      </c>
      <c r="F31" s="31">
        <f>'MEMÓRIA DE CÁLCULO '!J101</f>
        <v>37.700000000000003</v>
      </c>
      <c r="G31" s="71">
        <v>6.37</v>
      </c>
      <c r="H31" s="33">
        <f t="shared" si="16"/>
        <v>8.24</v>
      </c>
      <c r="I31" s="33">
        <f t="shared" si="19"/>
        <v>240.15</v>
      </c>
      <c r="J31" s="65">
        <f t="shared" si="20"/>
        <v>310.64999999999998</v>
      </c>
      <c r="N31">
        <f>84*7000</f>
        <v>588000</v>
      </c>
    </row>
    <row r="32" spans="1:14" ht="31.5">
      <c r="A32" s="64" t="s">
        <v>43</v>
      </c>
      <c r="B32" s="32" t="s">
        <v>216</v>
      </c>
      <c r="C32" s="30" t="s">
        <v>144</v>
      </c>
      <c r="D32" s="32" t="s">
        <v>188</v>
      </c>
      <c r="E32" s="32" t="s">
        <v>201</v>
      </c>
      <c r="F32" s="31">
        <f>'MEMÓRIA DE CÁLCULO '!J109</f>
        <v>1.88</v>
      </c>
      <c r="G32" s="71">
        <v>875.18</v>
      </c>
      <c r="H32" s="33">
        <f t="shared" si="16"/>
        <v>1132.05</v>
      </c>
      <c r="I32" s="33">
        <f t="shared" si="19"/>
        <v>1645.34</v>
      </c>
      <c r="J32" s="65">
        <f t="shared" si="20"/>
        <v>2128.25</v>
      </c>
    </row>
    <row r="33" spans="1:10" ht="15.75">
      <c r="A33" s="64" t="s">
        <v>115</v>
      </c>
      <c r="B33" s="32" t="s">
        <v>217</v>
      </c>
      <c r="C33" s="30" t="s">
        <v>145</v>
      </c>
      <c r="D33" s="32" t="s">
        <v>188</v>
      </c>
      <c r="E33" s="32" t="s">
        <v>218</v>
      </c>
      <c r="F33" s="31">
        <f>'MEMÓRIA DE CÁLCULO '!J114</f>
        <v>50.18</v>
      </c>
      <c r="G33" s="71">
        <v>9.86</v>
      </c>
      <c r="H33" s="33">
        <f t="shared" si="16"/>
        <v>12.75</v>
      </c>
      <c r="I33" s="33">
        <f t="shared" si="19"/>
        <v>494.77</v>
      </c>
      <c r="J33" s="65">
        <f t="shared" si="20"/>
        <v>639.79999999999995</v>
      </c>
    </row>
    <row r="34" spans="1:10" ht="15.75">
      <c r="A34" s="64" t="s">
        <v>116</v>
      </c>
      <c r="B34" s="32" t="s">
        <v>219</v>
      </c>
      <c r="C34" s="30" t="s">
        <v>146</v>
      </c>
      <c r="D34" s="32" t="s">
        <v>188</v>
      </c>
      <c r="E34" s="32" t="s">
        <v>218</v>
      </c>
      <c r="F34" s="31">
        <f>'MEMÓRIA DE CÁLCULO '!J119</f>
        <v>166.85</v>
      </c>
      <c r="G34" s="71">
        <v>9.75</v>
      </c>
      <c r="H34" s="33">
        <f t="shared" si="16"/>
        <v>12.61</v>
      </c>
      <c r="I34" s="33">
        <f t="shared" si="19"/>
        <v>1626.79</v>
      </c>
      <c r="J34" s="65">
        <f t="shared" si="20"/>
        <v>2103.98</v>
      </c>
    </row>
    <row r="35" spans="1:10" ht="15.75">
      <c r="A35" s="64" t="s">
        <v>117</v>
      </c>
      <c r="B35" s="32" t="s">
        <v>226</v>
      </c>
      <c r="C35" s="30" t="s">
        <v>147</v>
      </c>
      <c r="D35" s="32" t="s">
        <v>188</v>
      </c>
      <c r="E35" s="32" t="s">
        <v>218</v>
      </c>
      <c r="F35" s="31">
        <f>'MEMÓRIA DE CÁLCULO '!J124</f>
        <v>64.62</v>
      </c>
      <c r="G35" s="71">
        <v>8.99</v>
      </c>
      <c r="H35" s="33">
        <f t="shared" ref="H35:H36" si="21">ROUND(SUM(G35+(G35*$J$6)),2)</f>
        <v>11.63</v>
      </c>
      <c r="I35" s="33">
        <f t="shared" ref="I35:I36" si="22">ROUND(SUM(F35*G35),2)</f>
        <v>580.92999999999995</v>
      </c>
      <c r="J35" s="65">
        <f t="shared" ref="J35:J36" si="23">ROUND(SUM(F35*H35),2)</f>
        <v>751.53</v>
      </c>
    </row>
    <row r="36" spans="1:10" ht="15.75">
      <c r="A36" s="64" t="s">
        <v>118</v>
      </c>
      <c r="B36" s="32" t="s">
        <v>267</v>
      </c>
      <c r="C36" s="30" t="s">
        <v>254</v>
      </c>
      <c r="D36" s="32" t="s">
        <v>188</v>
      </c>
      <c r="E36" s="32" t="s">
        <v>218</v>
      </c>
      <c r="F36" s="31">
        <f>'MEMÓRIA DE CÁLCULO '!J129</f>
        <v>258.47000000000003</v>
      </c>
      <c r="G36" s="71">
        <v>7.69</v>
      </c>
      <c r="H36" s="33">
        <f t="shared" si="21"/>
        <v>9.9499999999999993</v>
      </c>
      <c r="I36" s="33">
        <f t="shared" si="22"/>
        <v>1987.63</v>
      </c>
      <c r="J36" s="65">
        <f t="shared" si="23"/>
        <v>2571.7800000000002</v>
      </c>
    </row>
    <row r="37" spans="1:10" ht="15.75">
      <c r="A37" s="64" t="s">
        <v>119</v>
      </c>
      <c r="B37" s="32" t="s">
        <v>220</v>
      </c>
      <c r="C37" s="30" t="s">
        <v>148</v>
      </c>
      <c r="D37" s="32" t="s">
        <v>188</v>
      </c>
      <c r="E37" s="32" t="s">
        <v>218</v>
      </c>
      <c r="F37" s="31">
        <f>'MEMÓRIA DE CÁLCULO '!J134</f>
        <v>76.72</v>
      </c>
      <c r="G37" s="71">
        <v>7.62</v>
      </c>
      <c r="H37" s="33">
        <f t="shared" si="16"/>
        <v>9.86</v>
      </c>
      <c r="I37" s="33">
        <f t="shared" si="19"/>
        <v>584.61</v>
      </c>
      <c r="J37" s="65">
        <f t="shared" si="20"/>
        <v>756.46</v>
      </c>
    </row>
    <row r="38" spans="1:10" ht="31.5">
      <c r="A38" s="64" t="s">
        <v>120</v>
      </c>
      <c r="B38" s="32" t="s">
        <v>221</v>
      </c>
      <c r="C38" s="30" t="s">
        <v>149</v>
      </c>
      <c r="D38" s="32" t="s">
        <v>188</v>
      </c>
      <c r="E38" s="32" t="s">
        <v>189</v>
      </c>
      <c r="F38" s="31">
        <f>'MEMÓRIA DE CÁLCULO '!J142</f>
        <v>43.76</v>
      </c>
      <c r="G38" s="71">
        <v>78.14</v>
      </c>
      <c r="H38" s="33">
        <f t="shared" si="16"/>
        <v>101.07</v>
      </c>
      <c r="I38" s="33">
        <f t="shared" si="19"/>
        <v>3419.41</v>
      </c>
      <c r="J38" s="65">
        <f t="shared" si="20"/>
        <v>4422.82</v>
      </c>
    </row>
    <row r="39" spans="1:10" ht="31.5">
      <c r="A39" s="64" t="s">
        <v>121</v>
      </c>
      <c r="B39" s="32" t="s">
        <v>222</v>
      </c>
      <c r="C39" s="30" t="s">
        <v>153</v>
      </c>
      <c r="D39" s="32" t="s">
        <v>188</v>
      </c>
      <c r="E39" s="32" t="s">
        <v>201</v>
      </c>
      <c r="F39" s="31">
        <f>'MEMÓRIA DE CÁLCULO '!J150</f>
        <v>15.47</v>
      </c>
      <c r="G39" s="71">
        <v>567.32000000000005</v>
      </c>
      <c r="H39" s="33">
        <f t="shared" si="16"/>
        <v>733.83</v>
      </c>
      <c r="I39" s="33">
        <f t="shared" si="19"/>
        <v>8776.44</v>
      </c>
      <c r="J39" s="65">
        <f t="shared" si="20"/>
        <v>11352.35</v>
      </c>
    </row>
    <row r="40" spans="1:10" ht="31.5">
      <c r="A40" s="64" t="s">
        <v>122</v>
      </c>
      <c r="B40" s="32" t="s">
        <v>223</v>
      </c>
      <c r="C40" s="30" t="s">
        <v>150</v>
      </c>
      <c r="D40" s="32" t="s">
        <v>188</v>
      </c>
      <c r="E40" s="32" t="s">
        <v>201</v>
      </c>
      <c r="F40" s="31">
        <f>'MEMÓRIA DE CÁLCULO '!J158</f>
        <v>15.47</v>
      </c>
      <c r="G40" s="71">
        <v>296.19</v>
      </c>
      <c r="H40" s="33">
        <f t="shared" si="16"/>
        <v>383.12</v>
      </c>
      <c r="I40" s="33">
        <f t="shared" si="19"/>
        <v>4582.0600000000004</v>
      </c>
      <c r="J40" s="65">
        <f t="shared" si="20"/>
        <v>5926.87</v>
      </c>
    </row>
    <row r="41" spans="1:10" ht="31.5">
      <c r="A41" s="64" t="s">
        <v>263</v>
      </c>
      <c r="B41" s="32" t="s">
        <v>224</v>
      </c>
      <c r="C41" s="30" t="s">
        <v>151</v>
      </c>
      <c r="D41" s="32" t="s">
        <v>188</v>
      </c>
      <c r="E41" s="32" t="s">
        <v>189</v>
      </c>
      <c r="F41" s="31">
        <f>'MEMÓRIA DE CÁLCULO '!J170</f>
        <v>65.08</v>
      </c>
      <c r="G41" s="71">
        <v>39.630000000000003</v>
      </c>
      <c r="H41" s="33">
        <f t="shared" si="16"/>
        <v>51.26</v>
      </c>
      <c r="I41" s="33">
        <f t="shared" si="19"/>
        <v>2579.12</v>
      </c>
      <c r="J41" s="65">
        <f t="shared" si="20"/>
        <v>3336</v>
      </c>
    </row>
    <row r="42" spans="1:10" ht="15.75">
      <c r="A42" s="64" t="s">
        <v>264</v>
      </c>
      <c r="B42" s="32" t="s">
        <v>225</v>
      </c>
      <c r="C42" s="30" t="s">
        <v>152</v>
      </c>
      <c r="D42" s="32" t="s">
        <v>188</v>
      </c>
      <c r="E42" s="32" t="s">
        <v>201</v>
      </c>
      <c r="F42" s="31">
        <f>'MEMÓRIA DE CÁLCULO '!J175</f>
        <v>4.7300000000000004</v>
      </c>
      <c r="G42" s="71">
        <v>21.09</v>
      </c>
      <c r="H42" s="33">
        <f t="shared" si="16"/>
        <v>27.28</v>
      </c>
      <c r="I42" s="33">
        <f t="shared" si="19"/>
        <v>99.76</v>
      </c>
      <c r="J42" s="65">
        <f t="shared" si="20"/>
        <v>129.03</v>
      </c>
    </row>
    <row r="43" spans="1:10" ht="15.75">
      <c r="A43" s="62" t="s">
        <v>44</v>
      </c>
      <c r="B43" s="129" t="s">
        <v>62</v>
      </c>
      <c r="C43" s="129"/>
      <c r="D43" s="129"/>
      <c r="E43" s="129"/>
      <c r="F43" s="129"/>
      <c r="G43" s="129"/>
      <c r="H43" s="129"/>
      <c r="I43" s="61">
        <f>ROUND(SUM(I44:I52),2)</f>
        <v>56885.97</v>
      </c>
      <c r="J43" s="63">
        <f>ROUND(SUM(J44:J52),2)</f>
        <v>73582.41</v>
      </c>
    </row>
    <row r="44" spans="1:10" ht="31.5">
      <c r="A44" s="64" t="s">
        <v>45</v>
      </c>
      <c r="B44" s="32">
        <v>92264</v>
      </c>
      <c r="C44" s="30" t="s">
        <v>289</v>
      </c>
      <c r="D44" s="32" t="s">
        <v>188</v>
      </c>
      <c r="E44" s="32" t="s">
        <v>189</v>
      </c>
      <c r="F44" s="31">
        <f>'MEMÓRIA DE CÁLCULO '!J183</f>
        <v>49.44</v>
      </c>
      <c r="G44" s="71">
        <v>217.56</v>
      </c>
      <c r="H44" s="33">
        <f t="shared" ref="H44:H52" si="24">ROUND(SUM(G44+(G44*$J$6)),2)</f>
        <v>281.41000000000003</v>
      </c>
      <c r="I44" s="33">
        <f t="shared" ref="I44" si="25">ROUND(SUM(F44*G44),2)</f>
        <v>10756.17</v>
      </c>
      <c r="J44" s="65">
        <f t="shared" ref="J44" si="26">ROUND(SUM(F44*H44),2)</f>
        <v>13912.91</v>
      </c>
    </row>
    <row r="45" spans="1:10" ht="47.25">
      <c r="A45" s="64" t="s">
        <v>46</v>
      </c>
      <c r="B45" s="32">
        <v>100341</v>
      </c>
      <c r="C45" s="30" t="s">
        <v>288</v>
      </c>
      <c r="D45" s="32" t="s">
        <v>188</v>
      </c>
      <c r="E45" s="32" t="s">
        <v>189</v>
      </c>
      <c r="F45" s="31">
        <f>'MEMÓRIA DE CÁLCULO '!J188</f>
        <v>119.6</v>
      </c>
      <c r="G45" s="71">
        <v>40.119999999999997</v>
      </c>
      <c r="H45" s="33">
        <f t="shared" si="24"/>
        <v>51.9</v>
      </c>
      <c r="I45" s="33">
        <f t="shared" ref="I45:I52" si="27">ROUND(SUM(F45*G45),2)</f>
        <v>4798.3500000000004</v>
      </c>
      <c r="J45" s="65">
        <f t="shared" ref="J45:J52" si="28">ROUND(SUM(F45*H45),2)</f>
        <v>6207.24</v>
      </c>
    </row>
    <row r="46" spans="1:10" ht="15.75">
      <c r="A46" s="64" t="s">
        <v>47</v>
      </c>
      <c r="B46" s="32" t="s">
        <v>217</v>
      </c>
      <c r="C46" s="30" t="s">
        <v>145</v>
      </c>
      <c r="D46" s="32" t="s">
        <v>188</v>
      </c>
      <c r="E46" s="32" t="s">
        <v>218</v>
      </c>
      <c r="F46" s="31">
        <f>'MEMÓRIA DE CÁLCULO '!J193</f>
        <v>29.32</v>
      </c>
      <c r="G46" s="71">
        <v>9.86</v>
      </c>
      <c r="H46" s="33">
        <f t="shared" si="24"/>
        <v>12.75</v>
      </c>
      <c r="I46" s="33">
        <f t="shared" si="27"/>
        <v>289.10000000000002</v>
      </c>
      <c r="J46" s="65">
        <f t="shared" si="28"/>
        <v>373.83</v>
      </c>
    </row>
    <row r="47" spans="1:10" ht="15.75">
      <c r="A47" s="64" t="s">
        <v>48</v>
      </c>
      <c r="B47" s="32" t="s">
        <v>219</v>
      </c>
      <c r="C47" s="30" t="s">
        <v>146</v>
      </c>
      <c r="D47" s="32" t="s">
        <v>188</v>
      </c>
      <c r="E47" s="32" t="s">
        <v>218</v>
      </c>
      <c r="F47" s="31">
        <f>'MEMÓRIA DE CÁLCULO '!J199</f>
        <v>830.81</v>
      </c>
      <c r="G47" s="71">
        <v>9.75</v>
      </c>
      <c r="H47" s="33">
        <f t="shared" si="24"/>
        <v>12.61</v>
      </c>
      <c r="I47" s="33">
        <f t="shared" si="27"/>
        <v>8100.4</v>
      </c>
      <c r="J47" s="65">
        <f t="shared" si="28"/>
        <v>10476.51</v>
      </c>
    </row>
    <row r="48" spans="1:10" ht="15.75">
      <c r="A48" s="64" t="s">
        <v>49</v>
      </c>
      <c r="B48" s="32" t="s">
        <v>226</v>
      </c>
      <c r="C48" s="30" t="s">
        <v>147</v>
      </c>
      <c r="D48" s="32" t="s">
        <v>188</v>
      </c>
      <c r="E48" s="32" t="s">
        <v>218</v>
      </c>
      <c r="F48" s="31">
        <f>'MEMÓRIA DE CÁLCULO '!J204</f>
        <v>633.36</v>
      </c>
      <c r="G48" s="71">
        <v>8.99</v>
      </c>
      <c r="H48" s="33">
        <f t="shared" si="24"/>
        <v>11.63</v>
      </c>
      <c r="I48" s="33">
        <f t="shared" si="27"/>
        <v>5693.91</v>
      </c>
      <c r="J48" s="65">
        <f t="shared" si="28"/>
        <v>7365.98</v>
      </c>
    </row>
    <row r="49" spans="1:10" ht="15.75">
      <c r="A49" s="64" t="s">
        <v>123</v>
      </c>
      <c r="B49" s="32" t="s">
        <v>220</v>
      </c>
      <c r="C49" s="30" t="s">
        <v>148</v>
      </c>
      <c r="D49" s="32" t="s">
        <v>188</v>
      </c>
      <c r="E49" s="32" t="s">
        <v>218</v>
      </c>
      <c r="F49" s="31">
        <f>'MEMÓRIA DE CÁLCULO '!J210</f>
        <v>351.34</v>
      </c>
      <c r="G49" s="71">
        <v>7.62</v>
      </c>
      <c r="H49" s="33">
        <f t="shared" si="24"/>
        <v>9.86</v>
      </c>
      <c r="I49" s="33">
        <f t="shared" si="27"/>
        <v>2677.21</v>
      </c>
      <c r="J49" s="65">
        <f t="shared" si="28"/>
        <v>3464.21</v>
      </c>
    </row>
    <row r="50" spans="1:10" ht="15.75">
      <c r="A50" s="64" t="s">
        <v>124</v>
      </c>
      <c r="B50" s="32" t="s">
        <v>268</v>
      </c>
      <c r="C50" s="30" t="s">
        <v>260</v>
      </c>
      <c r="D50" s="32" t="s">
        <v>188</v>
      </c>
      <c r="E50" s="32" t="s">
        <v>218</v>
      </c>
      <c r="F50" s="31">
        <f>'MEMÓRIA DE CÁLCULO '!J215</f>
        <v>234.37</v>
      </c>
      <c r="G50" s="71">
        <v>8.9700000000000006</v>
      </c>
      <c r="H50" s="33">
        <f t="shared" ref="H50" si="29">ROUND(SUM(G50+(G50*$J$6)),2)</f>
        <v>11.6</v>
      </c>
      <c r="I50" s="33">
        <f t="shared" ref="I50" si="30">ROUND(SUM(F50*G50),2)</f>
        <v>2102.3000000000002</v>
      </c>
      <c r="J50" s="65">
        <f t="shared" ref="J50" si="31">ROUND(SUM(F50*H50),2)</f>
        <v>2718.69</v>
      </c>
    </row>
    <row r="51" spans="1:10" ht="31.5">
      <c r="A51" s="64" t="s">
        <v>227</v>
      </c>
      <c r="B51" s="32" t="s">
        <v>222</v>
      </c>
      <c r="C51" s="30" t="s">
        <v>153</v>
      </c>
      <c r="D51" s="32" t="s">
        <v>188</v>
      </c>
      <c r="E51" s="32" t="s">
        <v>201</v>
      </c>
      <c r="F51" s="31">
        <f>'MEMÓRIA DE CÁLCULO '!J223</f>
        <v>26.02</v>
      </c>
      <c r="G51" s="71">
        <v>567.32000000000005</v>
      </c>
      <c r="H51" s="33">
        <f t="shared" si="24"/>
        <v>733.83</v>
      </c>
      <c r="I51" s="33">
        <f t="shared" si="27"/>
        <v>14761.67</v>
      </c>
      <c r="J51" s="65">
        <f t="shared" si="28"/>
        <v>19094.259999999998</v>
      </c>
    </row>
    <row r="52" spans="1:10" ht="31.5">
      <c r="A52" s="64" t="s">
        <v>276</v>
      </c>
      <c r="B52" s="32" t="s">
        <v>223</v>
      </c>
      <c r="C52" s="30" t="s">
        <v>150</v>
      </c>
      <c r="D52" s="32" t="s">
        <v>188</v>
      </c>
      <c r="E52" s="32" t="s">
        <v>201</v>
      </c>
      <c r="F52" s="31">
        <f>'MEMÓRIA DE CÁLCULO '!J231</f>
        <v>26.02</v>
      </c>
      <c r="G52" s="71">
        <v>296.19</v>
      </c>
      <c r="H52" s="33">
        <f t="shared" si="24"/>
        <v>383.12</v>
      </c>
      <c r="I52" s="33">
        <f t="shared" si="27"/>
        <v>7706.86</v>
      </c>
      <c r="J52" s="65">
        <f t="shared" si="28"/>
        <v>9968.7800000000007</v>
      </c>
    </row>
    <row r="53" spans="1:10" ht="15.75">
      <c r="A53" s="62" t="s">
        <v>50</v>
      </c>
      <c r="B53" s="129" t="s">
        <v>228</v>
      </c>
      <c r="C53" s="129"/>
      <c r="D53" s="129"/>
      <c r="E53" s="129"/>
      <c r="F53" s="129"/>
      <c r="G53" s="129"/>
      <c r="H53" s="129"/>
      <c r="I53" s="61">
        <f>ROUND(SUM(I54:I62),2)</f>
        <v>139121.03</v>
      </c>
      <c r="J53" s="63">
        <f>ROUND(SUM(J54:J62),2)</f>
        <v>179946.3</v>
      </c>
    </row>
    <row r="54" spans="1:10" ht="31.5">
      <c r="A54" s="64" t="s">
        <v>52</v>
      </c>
      <c r="B54" s="32" t="s">
        <v>229</v>
      </c>
      <c r="C54" s="30" t="s">
        <v>159</v>
      </c>
      <c r="D54" s="32" t="s">
        <v>230</v>
      </c>
      <c r="E54" s="32" t="s">
        <v>231</v>
      </c>
      <c r="F54" s="31">
        <f>'MEMÓRIA DE CÁLCULO '!J237</f>
        <v>14.4</v>
      </c>
      <c r="G54" s="71">
        <v>141.72999999999999</v>
      </c>
      <c r="H54" s="33">
        <f t="shared" ref="H54:H62" si="32">ROUND(SUM(G54+(G54*$J$6)),2)</f>
        <v>183.33</v>
      </c>
      <c r="I54" s="33">
        <f t="shared" ref="I54" si="33">ROUND(SUM(F54*G54),2)</f>
        <v>2040.91</v>
      </c>
      <c r="J54" s="65">
        <f t="shared" ref="J54" si="34">ROUND(SUM(F54*H54),2)</f>
        <v>2639.95</v>
      </c>
    </row>
    <row r="55" spans="1:10" ht="31.5">
      <c r="A55" s="64" t="s">
        <v>125</v>
      </c>
      <c r="B55" s="32" t="s">
        <v>232</v>
      </c>
      <c r="C55" s="30" t="s">
        <v>154</v>
      </c>
      <c r="D55" s="32" t="s">
        <v>188</v>
      </c>
      <c r="E55" s="32" t="s">
        <v>189</v>
      </c>
      <c r="F55" s="31">
        <f>'MEMÓRIA DE CÁLCULO '!J247</f>
        <v>156.84</v>
      </c>
      <c r="G55" s="71">
        <v>124.17</v>
      </c>
      <c r="H55" s="33">
        <f t="shared" si="32"/>
        <v>160.61000000000001</v>
      </c>
      <c r="I55" s="33">
        <f t="shared" ref="I55:I62" si="35">ROUND(SUM(F55*G55),2)</f>
        <v>19474.82</v>
      </c>
      <c r="J55" s="65">
        <f t="shared" ref="J55:J62" si="36">ROUND(SUM(F55*H55),2)</f>
        <v>25190.07</v>
      </c>
    </row>
    <row r="56" spans="1:10" ht="15.75">
      <c r="A56" s="64" t="s">
        <v>126</v>
      </c>
      <c r="B56" s="32" t="s">
        <v>219</v>
      </c>
      <c r="C56" s="30" t="s">
        <v>146</v>
      </c>
      <c r="D56" s="32" t="s">
        <v>188</v>
      </c>
      <c r="E56" s="32" t="s">
        <v>218</v>
      </c>
      <c r="F56" s="31">
        <f>'MEMÓRIA DE CÁLCULO '!J254</f>
        <v>1408.64</v>
      </c>
      <c r="G56" s="71">
        <v>9.75</v>
      </c>
      <c r="H56" s="33">
        <f t="shared" si="32"/>
        <v>12.61</v>
      </c>
      <c r="I56" s="33">
        <f t="shared" si="35"/>
        <v>13734.24</v>
      </c>
      <c r="J56" s="65">
        <f t="shared" si="36"/>
        <v>17762.95</v>
      </c>
    </row>
    <row r="57" spans="1:10" ht="15.75">
      <c r="A57" s="64" t="s">
        <v>127</v>
      </c>
      <c r="B57" s="32" t="s">
        <v>226</v>
      </c>
      <c r="C57" s="30" t="s">
        <v>147</v>
      </c>
      <c r="D57" s="32" t="s">
        <v>188</v>
      </c>
      <c r="E57" s="32" t="s">
        <v>218</v>
      </c>
      <c r="F57" s="31">
        <f>'MEMÓRIA DE CÁLCULO '!J261</f>
        <v>1813.63</v>
      </c>
      <c r="G57" s="71">
        <v>8.99</v>
      </c>
      <c r="H57" s="33">
        <f t="shared" si="32"/>
        <v>11.63</v>
      </c>
      <c r="I57" s="33">
        <f t="shared" si="35"/>
        <v>16304.53</v>
      </c>
      <c r="J57" s="65">
        <f t="shared" si="36"/>
        <v>21092.52</v>
      </c>
    </row>
    <row r="58" spans="1:10" ht="15.75">
      <c r="A58" s="64" t="s">
        <v>128</v>
      </c>
      <c r="B58" s="32" t="s">
        <v>233</v>
      </c>
      <c r="C58" s="30" t="s">
        <v>157</v>
      </c>
      <c r="D58" s="32" t="s">
        <v>188</v>
      </c>
      <c r="E58" s="32" t="s">
        <v>218</v>
      </c>
      <c r="F58" s="31">
        <f>'MEMÓRIA DE CÁLCULO '!J266</f>
        <v>2093.7199999999998</v>
      </c>
      <c r="G58" s="71">
        <v>8.9700000000000006</v>
      </c>
      <c r="H58" s="33">
        <f t="shared" si="32"/>
        <v>11.6</v>
      </c>
      <c r="I58" s="33">
        <f t="shared" si="35"/>
        <v>18780.669999999998</v>
      </c>
      <c r="J58" s="65">
        <f t="shared" si="36"/>
        <v>24287.15</v>
      </c>
    </row>
    <row r="59" spans="1:10" ht="31.5">
      <c r="A59" s="64" t="s">
        <v>129</v>
      </c>
      <c r="B59" s="32" t="s">
        <v>234</v>
      </c>
      <c r="C59" s="30" t="s">
        <v>156</v>
      </c>
      <c r="D59" s="32" t="s">
        <v>188</v>
      </c>
      <c r="E59" s="32" t="s">
        <v>201</v>
      </c>
      <c r="F59" s="31">
        <f>'MEMÓRIA DE CÁLCULO '!J272</f>
        <v>294</v>
      </c>
      <c r="G59" s="71">
        <v>18</v>
      </c>
      <c r="H59" s="33">
        <f t="shared" si="32"/>
        <v>23.28</v>
      </c>
      <c r="I59" s="33">
        <f t="shared" si="35"/>
        <v>5292</v>
      </c>
      <c r="J59" s="65">
        <f t="shared" si="36"/>
        <v>6844.32</v>
      </c>
    </row>
    <row r="60" spans="1:10" ht="31.5">
      <c r="A60" s="64" t="s">
        <v>235</v>
      </c>
      <c r="B60" s="32" t="s">
        <v>287</v>
      </c>
      <c r="C60" s="30" t="s">
        <v>286</v>
      </c>
      <c r="D60" s="32" t="s">
        <v>191</v>
      </c>
      <c r="E60" s="32" t="s">
        <v>201</v>
      </c>
      <c r="F60" s="31">
        <f>'MEMÓRIA DE CÁLCULO '!J279</f>
        <v>29</v>
      </c>
      <c r="G60" s="71">
        <v>774.91</v>
      </c>
      <c r="H60" s="33">
        <f t="shared" si="32"/>
        <v>1002.35</v>
      </c>
      <c r="I60" s="33">
        <f t="shared" si="35"/>
        <v>22472.39</v>
      </c>
      <c r="J60" s="65">
        <f t="shared" si="36"/>
        <v>29068.15</v>
      </c>
    </row>
    <row r="61" spans="1:10" ht="31.5">
      <c r="A61" s="64" t="s">
        <v>130</v>
      </c>
      <c r="B61" s="32" t="s">
        <v>236</v>
      </c>
      <c r="C61" s="30" t="s">
        <v>155</v>
      </c>
      <c r="D61" s="32" t="s">
        <v>188</v>
      </c>
      <c r="E61" s="32" t="s">
        <v>212</v>
      </c>
      <c r="F61" s="31">
        <f>'MEMÓRIA DE CÁLCULO '!J284</f>
        <v>7</v>
      </c>
      <c r="G61" s="71">
        <v>26.17</v>
      </c>
      <c r="H61" s="33">
        <f t="shared" si="32"/>
        <v>33.85</v>
      </c>
      <c r="I61" s="33">
        <f t="shared" si="35"/>
        <v>183.19</v>
      </c>
      <c r="J61" s="65">
        <f t="shared" si="36"/>
        <v>236.95</v>
      </c>
    </row>
    <row r="62" spans="1:10" ht="31.5">
      <c r="A62" s="64" t="s">
        <v>132</v>
      </c>
      <c r="B62" s="32" t="s">
        <v>237</v>
      </c>
      <c r="C62" s="30" t="s">
        <v>168</v>
      </c>
      <c r="D62" s="32" t="s">
        <v>198</v>
      </c>
      <c r="E62" s="32" t="s">
        <v>189</v>
      </c>
      <c r="F62" s="31">
        <f>'MEMÓRIA DE CÁLCULO '!J290</f>
        <v>84</v>
      </c>
      <c r="G62" s="71">
        <v>486.17</v>
      </c>
      <c r="H62" s="33">
        <f t="shared" si="32"/>
        <v>628.86</v>
      </c>
      <c r="I62" s="33">
        <f t="shared" si="35"/>
        <v>40838.28</v>
      </c>
      <c r="J62" s="65">
        <f t="shared" si="36"/>
        <v>52824.24</v>
      </c>
    </row>
    <row r="63" spans="1:10" ht="15.75">
      <c r="A63" s="62" t="s">
        <v>51</v>
      </c>
      <c r="B63" s="129" t="s">
        <v>238</v>
      </c>
      <c r="C63" s="129"/>
      <c r="D63" s="129"/>
      <c r="E63" s="129"/>
      <c r="F63" s="129"/>
      <c r="G63" s="129"/>
      <c r="H63" s="129"/>
      <c r="I63" s="61">
        <f>ROUND(SUM(I64),2)</f>
        <v>570.71</v>
      </c>
      <c r="J63" s="63">
        <f>ROUND(SUM(J64),2)</f>
        <v>738.22</v>
      </c>
    </row>
    <row r="64" spans="1:10" ht="31.5">
      <c r="A64" s="64" t="s">
        <v>53</v>
      </c>
      <c r="B64" s="32" t="s">
        <v>239</v>
      </c>
      <c r="C64" s="30" t="s">
        <v>167</v>
      </c>
      <c r="D64" s="32" t="s">
        <v>230</v>
      </c>
      <c r="E64" s="32" t="s">
        <v>240</v>
      </c>
      <c r="F64" s="31">
        <f>'MEMÓRIA DE CÁLCULO '!J297</f>
        <v>1.8</v>
      </c>
      <c r="G64" s="71">
        <v>317.06</v>
      </c>
      <c r="H64" s="33">
        <f t="shared" ref="H64" si="37">ROUND(SUM(G64+(G64*$J$6)),2)</f>
        <v>410.12</v>
      </c>
      <c r="I64" s="33">
        <f t="shared" ref="I64" si="38">ROUND(SUM(F64*G64),2)</f>
        <v>570.71</v>
      </c>
      <c r="J64" s="65">
        <f t="shared" ref="J64" si="39">ROUND(SUM(F64*H64),2)</f>
        <v>738.22</v>
      </c>
    </row>
    <row r="65" spans="1:10" ht="15.75">
      <c r="A65" s="67"/>
      <c r="B65" s="68"/>
      <c r="C65" s="68"/>
      <c r="D65" s="68"/>
      <c r="E65" s="68"/>
      <c r="F65" s="69"/>
      <c r="G65" s="69"/>
      <c r="H65" s="125" t="s">
        <v>241</v>
      </c>
      <c r="I65" s="125"/>
      <c r="J65" s="70">
        <f>J10</f>
        <v>400177.95</v>
      </c>
    </row>
    <row r="66" spans="1:10">
      <c r="A66" s="2"/>
      <c r="B66" s="3"/>
      <c r="C66" s="3"/>
      <c r="D66" s="3"/>
      <c r="E66" s="3"/>
      <c r="F66" s="14"/>
      <c r="G66" s="14"/>
      <c r="H66" s="14"/>
      <c r="I66" s="14"/>
      <c r="J66" s="15"/>
    </row>
    <row r="67" spans="1:10">
      <c r="A67" s="2"/>
      <c r="B67" s="3"/>
      <c r="C67" s="3"/>
      <c r="D67" s="3"/>
      <c r="E67" s="3"/>
      <c r="F67" s="14"/>
      <c r="G67" s="14"/>
      <c r="H67" s="14"/>
      <c r="I67" s="14"/>
      <c r="J67" s="15"/>
    </row>
    <row r="68" spans="1:10">
      <c r="A68" s="2"/>
      <c r="B68" s="3"/>
      <c r="C68" s="3"/>
      <c r="D68" s="3"/>
      <c r="E68" s="3"/>
      <c r="F68" s="14"/>
      <c r="G68" s="14"/>
      <c r="H68" s="14"/>
      <c r="I68" s="14"/>
      <c r="J68" s="15"/>
    </row>
    <row r="69" spans="1:10">
      <c r="A69" s="2"/>
      <c r="B69" s="3"/>
      <c r="C69" s="3"/>
      <c r="D69" s="3"/>
      <c r="E69" s="3"/>
      <c r="F69" s="14"/>
      <c r="G69" s="14"/>
      <c r="H69" s="14"/>
      <c r="I69" s="14"/>
      <c r="J69" s="15"/>
    </row>
    <row r="70" spans="1:10">
      <c r="A70" s="2"/>
      <c r="B70" s="3"/>
      <c r="C70" s="3"/>
      <c r="D70" s="3"/>
      <c r="E70" s="3"/>
      <c r="F70" s="14"/>
      <c r="G70" s="14"/>
      <c r="H70" s="14"/>
      <c r="I70" s="14"/>
      <c r="J70" s="15"/>
    </row>
    <row r="71" spans="1:10" ht="15.75">
      <c r="A71" s="2"/>
      <c r="B71" s="3"/>
      <c r="C71" s="115" t="s">
        <v>56</v>
      </c>
      <c r="D71" s="115"/>
      <c r="E71" s="115"/>
      <c r="F71" s="115"/>
      <c r="G71" s="115"/>
      <c r="H71" s="115"/>
      <c r="I71" s="115"/>
      <c r="J71" s="15"/>
    </row>
    <row r="72" spans="1:10" ht="15.75">
      <c r="A72" s="2"/>
      <c r="B72" s="3"/>
      <c r="C72" s="114" t="s">
        <v>57</v>
      </c>
      <c r="D72" s="114"/>
      <c r="E72" s="114"/>
      <c r="F72" s="114"/>
      <c r="G72" s="114"/>
      <c r="H72" s="114"/>
      <c r="I72" s="114"/>
      <c r="J72" s="15"/>
    </row>
    <row r="73" spans="1:10">
      <c r="A73" s="2"/>
      <c r="B73" s="3"/>
      <c r="C73" s="3"/>
      <c r="D73" s="3"/>
      <c r="E73" s="3"/>
      <c r="F73" s="14"/>
      <c r="G73" s="14"/>
      <c r="H73" s="14"/>
      <c r="I73" s="14"/>
      <c r="J73" s="15"/>
    </row>
    <row r="74" spans="1:10" ht="59.25" customHeight="1">
      <c r="A74" s="2"/>
      <c r="B74" s="3"/>
      <c r="C74" s="3"/>
      <c r="D74" s="3"/>
      <c r="E74" s="3"/>
      <c r="F74" s="14"/>
      <c r="G74" s="14"/>
      <c r="H74" s="14"/>
      <c r="I74" s="14"/>
      <c r="J74" s="15"/>
    </row>
    <row r="75" spans="1:10" ht="15.75">
      <c r="A75" s="2"/>
      <c r="B75" s="3"/>
      <c r="C75" s="113" t="s">
        <v>292</v>
      </c>
      <c r="D75" s="113"/>
      <c r="E75" s="113"/>
      <c r="F75" s="113"/>
      <c r="G75" s="113"/>
      <c r="H75" s="113"/>
      <c r="I75" s="113"/>
      <c r="J75" s="15"/>
    </row>
    <row r="76" spans="1:10" ht="15.75">
      <c r="A76" s="2"/>
      <c r="B76" s="3"/>
      <c r="C76" s="114" t="s">
        <v>270</v>
      </c>
      <c r="D76" s="114"/>
      <c r="E76" s="114"/>
      <c r="F76" s="114"/>
      <c r="G76" s="114"/>
      <c r="H76" s="114"/>
      <c r="I76" s="114"/>
      <c r="J76" s="15"/>
    </row>
    <row r="77" spans="1:10">
      <c r="A77" s="2"/>
      <c r="B77" s="3"/>
      <c r="C77" s="3"/>
      <c r="D77" s="3"/>
      <c r="E77" s="3"/>
      <c r="F77" s="14"/>
      <c r="G77" s="14"/>
      <c r="H77" s="14"/>
      <c r="I77" s="14"/>
      <c r="J77" s="15"/>
    </row>
    <row r="78" spans="1:10" ht="15.75" thickBot="1">
      <c r="A78" s="4"/>
      <c r="B78" s="5"/>
      <c r="C78" s="5"/>
      <c r="D78" s="5"/>
      <c r="E78" s="5"/>
      <c r="F78" s="16"/>
      <c r="G78" s="16"/>
      <c r="H78" s="16"/>
      <c r="I78" s="16"/>
      <c r="J78" s="17"/>
    </row>
  </sheetData>
  <mergeCells count="32">
    <mergeCell ref="I8:J8"/>
    <mergeCell ref="B10:H10"/>
    <mergeCell ref="B11:H11"/>
    <mergeCell ref="B17:H17"/>
    <mergeCell ref="A4:F4"/>
    <mergeCell ref="B43:H43"/>
    <mergeCell ref="B53:H53"/>
    <mergeCell ref="B63:H63"/>
    <mergeCell ref="F8:F9"/>
    <mergeCell ref="G8:H8"/>
    <mergeCell ref="A1:J1"/>
    <mergeCell ref="A3:F3"/>
    <mergeCell ref="G3:H3"/>
    <mergeCell ref="G4:J4"/>
    <mergeCell ref="A5:F5"/>
    <mergeCell ref="I3:J3"/>
    <mergeCell ref="C75:I75"/>
    <mergeCell ref="C76:I76"/>
    <mergeCell ref="C71:I71"/>
    <mergeCell ref="C72:I72"/>
    <mergeCell ref="A2:J2"/>
    <mergeCell ref="A6:F6"/>
    <mergeCell ref="A8:A9"/>
    <mergeCell ref="B8:B9"/>
    <mergeCell ref="C8:C9"/>
    <mergeCell ref="D8:D9"/>
    <mergeCell ref="E8:E9"/>
    <mergeCell ref="H65:I65"/>
    <mergeCell ref="A7:J7"/>
    <mergeCell ref="B19:H19"/>
    <mergeCell ref="B21:H21"/>
    <mergeCell ref="B27:H27"/>
  </mergeCells>
  <phoneticPr fontId="15" type="noConversion"/>
  <pageMargins left="0.23622047244094491" right="0.23622047244094491" top="0.74803149606299213" bottom="0.74803149606299213" header="0.31496062992125984" footer="0.31496062992125984"/>
  <pageSetup paperSize="9" scale="62" fitToHeight="0" orientation="landscape" horizontalDpi="300" verticalDpi="300" r:id="rId1"/>
  <headerFooter>
    <oddHeader xml:space="preserve">&amp;R
</oddHeader>
    <oddFooter>&amp;RPágina &amp;P de &amp;N</oddFooter>
  </headerFooter>
  <rowBreaks count="2" manualBreakCount="2">
    <brk id="28" max="9" man="1"/>
    <brk id="5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D3F58-91E4-4D12-AEBF-71BA29CC291D}">
  <sheetPr>
    <pageSetUpPr fitToPage="1"/>
  </sheetPr>
  <dimension ref="A1:K843"/>
  <sheetViews>
    <sheetView view="pageBreakPreview" topLeftCell="A277" zoomScale="80" zoomScaleNormal="100" zoomScaleSheetLayoutView="80" zoomScalePageLayoutView="25" workbookViewId="0">
      <selection activeCell="E300" sqref="E300"/>
    </sheetView>
  </sheetViews>
  <sheetFormatPr defaultRowHeight="15"/>
  <cols>
    <col min="1" max="1" width="23.85546875" customWidth="1"/>
    <col min="2" max="2" width="21.140625" customWidth="1"/>
    <col min="3" max="3" width="36.140625" customWidth="1"/>
    <col min="4" max="9" width="22" customWidth="1"/>
    <col min="10" max="10" width="26.85546875" customWidth="1"/>
    <col min="11" max="11" width="27.85546875" customWidth="1"/>
    <col min="12" max="12" width="11.140625" customWidth="1"/>
  </cols>
  <sheetData>
    <row r="1" spans="1:11" ht="15.75">
      <c r="A1" s="36" t="s">
        <v>15</v>
      </c>
      <c r="B1" s="172" t="s">
        <v>277</v>
      </c>
      <c r="C1" s="172"/>
      <c r="D1" s="172"/>
      <c r="E1" s="172"/>
      <c r="F1" s="172"/>
      <c r="G1" s="172"/>
      <c r="H1" s="172"/>
      <c r="I1" s="174"/>
      <c r="J1" s="174"/>
      <c r="K1" s="175"/>
    </row>
    <row r="2" spans="1:11" ht="31.5">
      <c r="A2" s="37" t="s">
        <v>0</v>
      </c>
      <c r="B2" s="173" t="s">
        <v>280</v>
      </c>
      <c r="C2" s="173"/>
      <c r="D2" s="173"/>
      <c r="E2" s="173"/>
      <c r="F2" s="173"/>
      <c r="G2" s="173"/>
      <c r="H2" s="173"/>
      <c r="I2" s="176"/>
      <c r="J2" s="176"/>
      <c r="K2" s="177"/>
    </row>
    <row r="3" spans="1:11" ht="15.75">
      <c r="A3" s="38" t="s">
        <v>2</v>
      </c>
      <c r="B3" s="188" t="s">
        <v>294</v>
      </c>
      <c r="C3" s="188"/>
      <c r="D3" s="188"/>
      <c r="E3" s="188"/>
      <c r="F3" s="188"/>
      <c r="G3" s="188"/>
      <c r="H3" s="39" t="s">
        <v>11</v>
      </c>
      <c r="I3" s="185">
        <f ca="1">TODAY()</f>
        <v>45894</v>
      </c>
      <c r="J3" s="183"/>
      <c r="K3" s="184"/>
    </row>
    <row r="4" spans="1:11" ht="31.5">
      <c r="A4" s="38" t="s">
        <v>1</v>
      </c>
      <c r="B4" s="187" t="s">
        <v>66</v>
      </c>
      <c r="C4" s="187"/>
      <c r="D4" s="187"/>
      <c r="E4" s="187"/>
      <c r="F4" s="187"/>
      <c r="G4" s="187"/>
      <c r="H4" s="39" t="s">
        <v>10</v>
      </c>
      <c r="I4" s="183"/>
      <c r="J4" s="183"/>
      <c r="K4" s="184"/>
    </row>
    <row r="5" spans="1:11" ht="15.75">
      <c r="A5" s="186" t="s">
        <v>65</v>
      </c>
      <c r="B5" s="173"/>
      <c r="C5" s="173"/>
      <c r="D5" s="173"/>
      <c r="E5" s="173"/>
      <c r="F5" s="173"/>
      <c r="G5" s="173"/>
      <c r="H5" s="39" t="s">
        <v>12</v>
      </c>
      <c r="I5" s="1">
        <v>0.03</v>
      </c>
      <c r="J5" s="39" t="s">
        <v>13</v>
      </c>
      <c r="K5" s="18">
        <v>0.29349999999999998</v>
      </c>
    </row>
    <row r="6" spans="1:11" ht="15.75">
      <c r="A6" s="178"/>
      <c r="B6" s="176"/>
      <c r="C6" s="176"/>
      <c r="D6" s="176"/>
      <c r="E6" s="176"/>
      <c r="F6" s="176"/>
      <c r="G6" s="176"/>
      <c r="H6" s="176"/>
      <c r="I6" s="176"/>
      <c r="J6" s="176"/>
      <c r="K6" s="177"/>
    </row>
    <row r="7" spans="1:11" ht="15.75">
      <c r="A7" s="40" t="s">
        <v>16</v>
      </c>
      <c r="B7" s="189" t="s">
        <v>290</v>
      </c>
      <c r="C7" s="190"/>
      <c r="D7" s="190"/>
      <c r="E7" s="190"/>
      <c r="F7" s="190"/>
      <c r="G7" s="190"/>
      <c r="H7" s="190"/>
      <c r="I7" s="190"/>
      <c r="J7" s="190"/>
      <c r="K7" s="191"/>
    </row>
    <row r="8" spans="1:11" ht="15.75">
      <c r="A8" s="178"/>
      <c r="B8" s="176"/>
      <c r="C8" s="176"/>
      <c r="D8" s="176"/>
      <c r="E8" s="176"/>
      <c r="F8" s="176"/>
      <c r="G8" s="176"/>
      <c r="H8" s="176"/>
      <c r="I8" s="176"/>
      <c r="J8" s="176"/>
      <c r="K8" s="177"/>
    </row>
    <row r="9" spans="1:11" ht="15.75">
      <c r="A9" s="179" t="s">
        <v>17</v>
      </c>
      <c r="B9" s="180"/>
      <c r="C9" s="181" t="s">
        <v>20</v>
      </c>
      <c r="D9" s="181"/>
      <c r="E9" s="181"/>
      <c r="F9" s="181"/>
      <c r="G9" s="181"/>
      <c r="H9" s="181"/>
      <c r="I9" s="181"/>
      <c r="J9" s="181"/>
      <c r="K9" s="182"/>
    </row>
    <row r="10" spans="1:11" ht="15.75">
      <c r="A10" s="54" t="s">
        <v>3</v>
      </c>
      <c r="B10" s="55" t="s">
        <v>18</v>
      </c>
      <c r="C10" s="143" t="str">
        <f>'PLANILHA ORÇAMENTÁRIA '!C12</f>
        <v>FORNECIMENTO E INSTALAÇÃO DE PLACA DE OBRA COM CHAPA GALVANIZADA E ESTRUTURA DE MADEIRA. AF_03/2022_PS</v>
      </c>
      <c r="D10" s="143"/>
      <c r="E10" s="143"/>
      <c r="F10" s="143"/>
      <c r="G10" s="143"/>
      <c r="H10" s="143"/>
      <c r="I10" s="143"/>
      <c r="J10" s="143"/>
      <c r="K10" s="144"/>
    </row>
    <row r="11" spans="1:11" ht="15.75">
      <c r="A11" s="145" t="s">
        <v>4</v>
      </c>
      <c r="B11" s="146"/>
      <c r="C11" s="55"/>
      <c r="D11" s="55" t="s">
        <v>5</v>
      </c>
      <c r="E11" s="55" t="s">
        <v>25</v>
      </c>
      <c r="F11" s="55"/>
      <c r="G11" s="55"/>
      <c r="H11" s="55"/>
      <c r="I11" s="55" t="s">
        <v>8</v>
      </c>
      <c r="J11" s="55" t="s">
        <v>21</v>
      </c>
      <c r="K11" s="41" t="s">
        <v>9</v>
      </c>
    </row>
    <row r="12" spans="1:11" ht="15.75">
      <c r="A12" s="147" t="s">
        <v>22</v>
      </c>
      <c r="B12" s="148"/>
      <c r="C12" s="53"/>
      <c r="D12" s="57">
        <v>3</v>
      </c>
      <c r="E12" s="57">
        <v>1.5</v>
      </c>
      <c r="F12" s="57"/>
      <c r="G12" s="53"/>
      <c r="H12" s="53"/>
      <c r="I12" s="57">
        <v>1</v>
      </c>
      <c r="J12" s="57">
        <f>ROUND(SUM(D12*E12*I12),2)</f>
        <v>4.5</v>
      </c>
      <c r="K12" s="149"/>
    </row>
    <row r="13" spans="1:11" ht="15.75">
      <c r="A13" s="147" t="s">
        <v>14</v>
      </c>
      <c r="B13" s="148"/>
      <c r="C13" s="148"/>
      <c r="D13" s="148"/>
      <c r="E13" s="148"/>
      <c r="F13" s="148"/>
      <c r="G13" s="148"/>
      <c r="H13" s="148"/>
      <c r="I13" s="148"/>
      <c r="J13" s="42">
        <f>ROUND(SUM(J12:J12),2)</f>
        <v>4.5</v>
      </c>
      <c r="K13" s="149"/>
    </row>
    <row r="14" spans="1:11" ht="15.75">
      <c r="A14" s="157"/>
      <c r="B14" s="158"/>
      <c r="C14" s="158"/>
      <c r="D14" s="158"/>
      <c r="E14" s="158"/>
      <c r="F14" s="158"/>
      <c r="G14" s="158"/>
      <c r="H14" s="158"/>
      <c r="I14" s="158"/>
      <c r="J14" s="158"/>
      <c r="K14" s="159"/>
    </row>
    <row r="15" spans="1:11" ht="15.75">
      <c r="A15" s="54" t="s">
        <v>3</v>
      </c>
      <c r="B15" s="55" t="s">
        <v>24</v>
      </c>
      <c r="C15" s="143" t="str">
        <f>'PLANILHA ORÇAMENTÁRIA '!C13</f>
        <v>BARRACÃO DE OBRA, EM CHAPA DE COMPENSADO RESINADO, INCLUSIVE INSTALAÇÕES SANITÁRIAS E MOBILIÁRIO - PADRÃO DER-MG</v>
      </c>
      <c r="D15" s="143"/>
      <c r="E15" s="143"/>
      <c r="F15" s="143"/>
      <c r="G15" s="143"/>
      <c r="H15" s="143"/>
      <c r="I15" s="143"/>
      <c r="J15" s="143"/>
      <c r="K15" s="144"/>
    </row>
    <row r="16" spans="1:11" ht="15.75">
      <c r="A16" s="145" t="s">
        <v>4</v>
      </c>
      <c r="B16" s="146"/>
      <c r="C16" s="55"/>
      <c r="D16" s="55" t="s">
        <v>5</v>
      </c>
      <c r="E16" s="55" t="s">
        <v>6</v>
      </c>
      <c r="F16" s="55"/>
      <c r="G16" s="55"/>
      <c r="H16" s="55"/>
      <c r="I16" s="55" t="s">
        <v>8</v>
      </c>
      <c r="J16" s="55" t="str">
        <f>J11</f>
        <v>Área Total (m²)</v>
      </c>
      <c r="K16" s="41" t="s">
        <v>9</v>
      </c>
    </row>
    <row r="17" spans="1:11" ht="15.75">
      <c r="A17" s="147"/>
      <c r="B17" s="148"/>
      <c r="C17" s="53"/>
      <c r="D17" s="57">
        <v>4</v>
      </c>
      <c r="E17" s="57">
        <v>3</v>
      </c>
      <c r="F17" s="57"/>
      <c r="G17" s="57"/>
      <c r="H17" s="57"/>
      <c r="I17" s="57">
        <v>1</v>
      </c>
      <c r="J17" s="57">
        <f>ROUND(SUM(D17*E17*I17),2)</f>
        <v>12</v>
      </c>
      <c r="K17" s="149"/>
    </row>
    <row r="18" spans="1:11" ht="15.75">
      <c r="A18" s="147" t="s">
        <v>14</v>
      </c>
      <c r="B18" s="148"/>
      <c r="C18" s="148"/>
      <c r="D18" s="148"/>
      <c r="E18" s="148"/>
      <c r="F18" s="148"/>
      <c r="G18" s="148"/>
      <c r="H18" s="148"/>
      <c r="I18" s="148"/>
      <c r="J18" s="42">
        <f>ROUND(SUM(J17:J17),2)</f>
        <v>12</v>
      </c>
      <c r="K18" s="149"/>
    </row>
    <row r="19" spans="1:11" ht="15.75">
      <c r="A19" s="150" t="s">
        <v>58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2"/>
    </row>
    <row r="20" spans="1:11" ht="33" customHeight="1">
      <c r="A20" s="54" t="s">
        <v>3</v>
      </c>
      <c r="B20" s="55" t="s">
        <v>114</v>
      </c>
      <c r="C20" s="143" t="str">
        <f>'PLANILHA ORÇAMENTÁRIA '!C14</f>
        <v>LIGAÇÃO PROVISÓRIA COM ENTRADA DE ENERGIA AÉREA, PADRÃO CEMIG, CARGA INSTALADA DE 15,1KVA ATÉ 30KVA, TRIFÁSICO, COM SAÍDA SUBTERRÂNEA, INCLUSIVE POSTE, CAIXA PARA MEDIDOR, DISJUNTOR, BARRAMENTO, ATERRAMENTO E ACESSÓRIOS</v>
      </c>
      <c r="D20" s="143"/>
      <c r="E20" s="143"/>
      <c r="F20" s="143"/>
      <c r="G20" s="143"/>
      <c r="H20" s="143"/>
      <c r="I20" s="143"/>
      <c r="J20" s="143"/>
      <c r="K20" s="144"/>
    </row>
    <row r="21" spans="1:11" ht="15.75">
      <c r="A21" s="145" t="s">
        <v>4</v>
      </c>
      <c r="B21" s="146"/>
      <c r="C21" s="55"/>
      <c r="D21" s="55" t="s">
        <v>67</v>
      </c>
      <c r="E21" s="55"/>
      <c r="F21" s="55"/>
      <c r="G21" s="55"/>
      <c r="H21" s="55"/>
      <c r="I21" s="55" t="s">
        <v>8</v>
      </c>
      <c r="J21" s="55" t="s">
        <v>67</v>
      </c>
      <c r="K21" s="41" t="s">
        <v>9</v>
      </c>
    </row>
    <row r="22" spans="1:11" ht="15.75">
      <c r="A22" s="147"/>
      <c r="B22" s="148"/>
      <c r="C22" s="53"/>
      <c r="D22" s="57">
        <v>1</v>
      </c>
      <c r="E22" s="53"/>
      <c r="F22" s="53"/>
      <c r="G22" s="53"/>
      <c r="H22" s="53"/>
      <c r="I22" s="57">
        <v>1</v>
      </c>
      <c r="J22" s="57">
        <f>I22</f>
        <v>1</v>
      </c>
      <c r="K22" s="149"/>
    </row>
    <row r="23" spans="1:11" ht="15.75">
      <c r="A23" s="147" t="s">
        <v>14</v>
      </c>
      <c r="B23" s="148"/>
      <c r="C23" s="148"/>
      <c r="D23" s="148"/>
      <c r="E23" s="148"/>
      <c r="F23" s="148"/>
      <c r="G23" s="148"/>
      <c r="H23" s="148"/>
      <c r="I23" s="148"/>
      <c r="J23" s="42">
        <f>ROUND(SUM(J22:J22),2)</f>
        <v>1</v>
      </c>
      <c r="K23" s="149"/>
    </row>
    <row r="24" spans="1:11" ht="15.75">
      <c r="A24" s="150" t="s">
        <v>58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2"/>
    </row>
    <row r="25" spans="1:11" ht="15.75">
      <c r="A25" s="54" t="s">
        <v>3</v>
      </c>
      <c r="B25" s="55" t="s">
        <v>271</v>
      </c>
      <c r="C25" s="143" t="str">
        <f>'PLANILHA ORÇAMENTÁRIA '!C15</f>
        <v>REMOÇÃO MANUAL DE PISO DE TÁBUAS, COM REAPROVEITAMENTO, INCLUSIVE AFASTAMENTO E EMPILHAMENTO, EXCLUSIVE TRANSPORTE E RETIRADA DO MATERIAL REMOVIDO NÃO REAPROVEITÁVEL</v>
      </c>
      <c r="D25" s="143"/>
      <c r="E25" s="143"/>
      <c r="F25" s="143"/>
      <c r="G25" s="143"/>
      <c r="H25" s="143"/>
      <c r="I25" s="143"/>
      <c r="J25" s="143"/>
      <c r="K25" s="144"/>
    </row>
    <row r="26" spans="1:11" ht="15.75">
      <c r="A26" s="145" t="s">
        <v>4</v>
      </c>
      <c r="B26" s="146"/>
      <c r="C26" s="55"/>
      <c r="D26" s="55" t="s">
        <v>5</v>
      </c>
      <c r="E26" s="55" t="s">
        <v>6</v>
      </c>
      <c r="F26" s="55"/>
      <c r="G26" s="55"/>
      <c r="H26" s="55"/>
      <c r="I26" s="55" t="s">
        <v>8</v>
      </c>
      <c r="J26" s="55" t="s">
        <v>21</v>
      </c>
      <c r="K26" s="41" t="s">
        <v>9</v>
      </c>
    </row>
    <row r="27" spans="1:11" ht="15.75">
      <c r="A27" s="147"/>
      <c r="B27" s="148"/>
      <c r="C27" s="53"/>
      <c r="D27" s="57">
        <v>20</v>
      </c>
      <c r="E27" s="53">
        <v>3.6</v>
      </c>
      <c r="F27" s="53"/>
      <c r="G27" s="53"/>
      <c r="H27" s="53"/>
      <c r="I27" s="57">
        <v>1</v>
      </c>
      <c r="J27" s="57">
        <f>ROUND(SUM(D27*E27*I27),2)</f>
        <v>72</v>
      </c>
      <c r="K27" s="149"/>
    </row>
    <row r="28" spans="1:11" ht="15.75">
      <c r="A28" s="147" t="s">
        <v>14</v>
      </c>
      <c r="B28" s="148"/>
      <c r="C28" s="148"/>
      <c r="D28" s="148"/>
      <c r="E28" s="148"/>
      <c r="F28" s="148"/>
      <c r="G28" s="148"/>
      <c r="H28" s="148"/>
      <c r="I28" s="148"/>
      <c r="J28" s="42">
        <f>ROUND(SUM(J27:J27),2)</f>
        <v>72</v>
      </c>
      <c r="K28" s="149"/>
    </row>
    <row r="29" spans="1:11" ht="15.75">
      <c r="A29" s="150" t="s">
        <v>58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2"/>
    </row>
    <row r="30" spans="1:11" ht="15.75">
      <c r="A30" s="54" t="s">
        <v>3</v>
      </c>
      <c r="B30" s="55" t="s">
        <v>274</v>
      </c>
      <c r="C30" s="143" t="str">
        <f>'PLANILHA ORÇAMENTÁRIA '!C16</f>
        <v>REMOÇÃO DE CERCAS E MOURÕES, DE FORMA MANUAL, SEM REAPROVEITAMENTO. AF_09/2023</v>
      </c>
      <c r="D30" s="143"/>
      <c r="E30" s="143"/>
      <c r="F30" s="143"/>
      <c r="G30" s="143"/>
      <c r="H30" s="143"/>
      <c r="I30" s="143"/>
      <c r="J30" s="143"/>
      <c r="K30" s="144"/>
    </row>
    <row r="31" spans="1:11" ht="15.75">
      <c r="A31" s="145" t="s">
        <v>4</v>
      </c>
      <c r="B31" s="146"/>
      <c r="C31" s="55"/>
      <c r="D31" s="55" t="s">
        <v>5</v>
      </c>
      <c r="E31" s="55"/>
      <c r="F31" s="55"/>
      <c r="G31" s="55"/>
      <c r="H31" s="55"/>
      <c r="I31" s="55" t="s">
        <v>8</v>
      </c>
      <c r="J31" s="55" t="s">
        <v>54</v>
      </c>
      <c r="K31" s="41" t="s">
        <v>9</v>
      </c>
    </row>
    <row r="32" spans="1:11" ht="15.75">
      <c r="A32" s="147"/>
      <c r="B32" s="148"/>
      <c r="C32" s="53"/>
      <c r="D32" s="57">
        <v>20</v>
      </c>
      <c r="E32" s="53"/>
      <c r="F32" s="53"/>
      <c r="G32" s="53"/>
      <c r="H32" s="53"/>
      <c r="I32" s="57">
        <v>2</v>
      </c>
      <c r="J32" s="57">
        <f>I32*D32</f>
        <v>40</v>
      </c>
      <c r="K32" s="149"/>
    </row>
    <row r="33" spans="1:11" ht="15.75">
      <c r="A33" s="147" t="s">
        <v>14</v>
      </c>
      <c r="B33" s="148"/>
      <c r="C33" s="148"/>
      <c r="D33" s="148"/>
      <c r="E33" s="148"/>
      <c r="F33" s="148"/>
      <c r="G33" s="148"/>
      <c r="H33" s="148"/>
      <c r="I33" s="148"/>
      <c r="J33" s="42">
        <f>ROUND(SUM(J32:J32),2)</f>
        <v>40</v>
      </c>
      <c r="K33" s="149"/>
    </row>
    <row r="34" spans="1:11" ht="15.75">
      <c r="A34" s="150" t="s">
        <v>58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2"/>
    </row>
    <row r="35" spans="1:11" ht="15.75">
      <c r="A35" s="168" t="s">
        <v>23</v>
      </c>
      <c r="B35" s="169"/>
      <c r="C35" s="153" t="s">
        <v>104</v>
      </c>
      <c r="D35" s="153"/>
      <c r="E35" s="153"/>
      <c r="F35" s="153"/>
      <c r="G35" s="153"/>
      <c r="H35" s="153"/>
      <c r="I35" s="153"/>
      <c r="J35" s="153"/>
      <c r="K35" s="154"/>
    </row>
    <row r="36" spans="1:11" ht="15.75">
      <c r="A36" s="54" t="s">
        <v>3</v>
      </c>
      <c r="B36" s="55" t="s">
        <v>19</v>
      </c>
      <c r="C36" s="143" t="str">
        <f>'PLANILHA ORÇAMENTÁRIA '!C18</f>
        <v>MOBILIZAÇÃO E DESMOBILIZAÇÃO OBRA DISTANTE DE CENTRO URBANO COM VALOR ATÉ 1.000.000,00</v>
      </c>
      <c r="D36" s="143"/>
      <c r="E36" s="143"/>
      <c r="F36" s="143"/>
      <c r="G36" s="143"/>
      <c r="H36" s="143"/>
      <c r="I36" s="143"/>
      <c r="J36" s="143"/>
      <c r="K36" s="144"/>
    </row>
    <row r="37" spans="1:11" ht="15.75">
      <c r="A37" s="145" t="s">
        <v>4</v>
      </c>
      <c r="B37" s="146"/>
      <c r="C37" s="55"/>
      <c r="D37" s="55" t="s">
        <v>242</v>
      </c>
      <c r="E37" s="55"/>
      <c r="F37" s="55"/>
      <c r="G37" s="55"/>
      <c r="H37" s="55"/>
      <c r="I37" s="55" t="s">
        <v>8</v>
      </c>
      <c r="J37" s="55" t="s">
        <v>245</v>
      </c>
      <c r="K37" s="41" t="s">
        <v>9</v>
      </c>
    </row>
    <row r="38" spans="1:11" ht="15.75">
      <c r="A38" s="147"/>
      <c r="B38" s="148"/>
      <c r="C38" s="53"/>
      <c r="D38" s="57">
        <v>2</v>
      </c>
      <c r="E38" s="57"/>
      <c r="F38" s="57"/>
      <c r="G38" s="53"/>
      <c r="H38" s="53"/>
      <c r="I38" s="57">
        <v>1</v>
      </c>
      <c r="J38" s="57">
        <f>D38</f>
        <v>2</v>
      </c>
      <c r="K38" s="149"/>
    </row>
    <row r="39" spans="1:11" ht="15.75">
      <c r="A39" s="147" t="s">
        <v>14</v>
      </c>
      <c r="B39" s="148"/>
      <c r="C39" s="148"/>
      <c r="D39" s="148"/>
      <c r="E39" s="148"/>
      <c r="F39" s="148"/>
      <c r="G39" s="148"/>
      <c r="H39" s="148"/>
      <c r="I39" s="148"/>
      <c r="J39" s="42">
        <f>ROUND(SUM(J38:J38),2)</f>
        <v>2</v>
      </c>
      <c r="K39" s="149"/>
    </row>
    <row r="40" spans="1:11" ht="15.75">
      <c r="A40" s="157"/>
      <c r="B40" s="158"/>
      <c r="C40" s="158"/>
      <c r="D40" s="158"/>
      <c r="E40" s="158"/>
      <c r="F40" s="158"/>
      <c r="G40" s="158"/>
      <c r="H40" s="158"/>
      <c r="I40" s="158"/>
      <c r="J40" s="158"/>
      <c r="K40" s="159"/>
    </row>
    <row r="41" spans="1:11" ht="15.75">
      <c r="A41" s="168" t="s">
        <v>27</v>
      </c>
      <c r="B41" s="169"/>
      <c r="C41" s="153" t="s">
        <v>60</v>
      </c>
      <c r="D41" s="153"/>
      <c r="E41" s="153"/>
      <c r="F41" s="153"/>
      <c r="G41" s="153"/>
      <c r="H41" s="153"/>
      <c r="I41" s="153"/>
      <c r="J41" s="153"/>
      <c r="K41" s="154"/>
    </row>
    <row r="42" spans="1:11" ht="15.75">
      <c r="A42" s="54" t="s">
        <v>3</v>
      </c>
      <c r="B42" s="55" t="s">
        <v>28</v>
      </c>
      <c r="C42" s="143" t="str">
        <f>'PLANILHA ORÇAMENTÁRIA '!C20</f>
        <v>AMINISTRAÇÃO LOCAL</v>
      </c>
      <c r="D42" s="143"/>
      <c r="E42" s="143"/>
      <c r="F42" s="143"/>
      <c r="G42" s="143"/>
      <c r="H42" s="143"/>
      <c r="I42" s="143"/>
      <c r="J42" s="143"/>
      <c r="K42" s="144"/>
    </row>
    <row r="43" spans="1:11" ht="15.75">
      <c r="A43" s="145" t="s">
        <v>4</v>
      </c>
      <c r="B43" s="146"/>
      <c r="C43" s="55"/>
      <c r="D43" s="55" t="s">
        <v>243</v>
      </c>
      <c r="E43" s="55"/>
      <c r="F43" s="55"/>
      <c r="G43" s="55"/>
      <c r="H43" s="55"/>
      <c r="I43" s="55" t="s">
        <v>8</v>
      </c>
      <c r="J43" s="55" t="s">
        <v>244</v>
      </c>
      <c r="K43" s="41" t="s">
        <v>9</v>
      </c>
    </row>
    <row r="44" spans="1:11" ht="15.75">
      <c r="A44" s="147"/>
      <c r="B44" s="148"/>
      <c r="C44" s="53"/>
      <c r="D44" s="57">
        <v>4</v>
      </c>
      <c r="E44" s="57"/>
      <c r="F44" s="57"/>
      <c r="G44" s="53"/>
      <c r="H44" s="53"/>
      <c r="I44" s="57">
        <v>1</v>
      </c>
      <c r="J44" s="57">
        <f>I44*D44</f>
        <v>4</v>
      </c>
      <c r="K44" s="149"/>
    </row>
    <row r="45" spans="1:11" ht="15.75">
      <c r="A45" s="147" t="s">
        <v>14</v>
      </c>
      <c r="B45" s="148"/>
      <c r="C45" s="148"/>
      <c r="D45" s="148"/>
      <c r="E45" s="148"/>
      <c r="F45" s="148"/>
      <c r="G45" s="148"/>
      <c r="H45" s="148"/>
      <c r="I45" s="148"/>
      <c r="J45" s="42">
        <f>ROUND(SUM(J44:J44),2)</f>
        <v>4</v>
      </c>
      <c r="K45" s="149"/>
    </row>
    <row r="46" spans="1:11" ht="15.75">
      <c r="A46" s="157"/>
      <c r="B46" s="158"/>
      <c r="C46" s="158"/>
      <c r="D46" s="158"/>
      <c r="E46" s="158"/>
      <c r="F46" s="158"/>
      <c r="G46" s="158"/>
      <c r="H46" s="158"/>
      <c r="I46" s="158"/>
      <c r="J46" s="158"/>
      <c r="K46" s="159"/>
    </row>
    <row r="47" spans="1:11" ht="15.75">
      <c r="A47" s="160" t="s">
        <v>29</v>
      </c>
      <c r="B47" s="161"/>
      <c r="C47" s="162" t="s">
        <v>59</v>
      </c>
      <c r="D47" s="162"/>
      <c r="E47" s="162"/>
      <c r="F47" s="162"/>
      <c r="G47" s="162"/>
      <c r="H47" s="162"/>
      <c r="I47" s="162"/>
      <c r="J47" s="162"/>
      <c r="K47" s="163"/>
    </row>
    <row r="48" spans="1:11" ht="30.75" customHeight="1">
      <c r="A48" s="54" t="s">
        <v>3</v>
      </c>
      <c r="B48" s="55" t="s">
        <v>30</v>
      </c>
      <c r="C48" s="143" t="str">
        <f>'PLANILHA ORÇAMENTÁRIA '!C22</f>
        <v>ESCAVAÇÃO MECANIZADA DE VALA COM PROF. ATÉ 1,5 M (MÉDIA MONTANTE E JUSANTE/UMA COMPOSIÇÃO POR TRECHO), ESCAVADEIRA (0,8 M3), LARG. DE 1,5 M A 2,5 M, EM SOLO DE 1A CATEGORIA, EM LOCAIS COM ALTO NÍVEL DE INTERFERÊNCIA. AF_09/2024</v>
      </c>
      <c r="D48" s="143"/>
      <c r="E48" s="143"/>
      <c r="F48" s="143"/>
      <c r="G48" s="143"/>
      <c r="H48" s="143"/>
      <c r="I48" s="143"/>
      <c r="J48" s="143"/>
      <c r="K48" s="144"/>
    </row>
    <row r="49" spans="1:11" ht="15.75">
      <c r="A49" s="145" t="s">
        <v>4</v>
      </c>
      <c r="B49" s="146"/>
      <c r="C49" s="55"/>
      <c r="D49" s="55" t="s">
        <v>5</v>
      </c>
      <c r="E49" s="55" t="s">
        <v>6</v>
      </c>
      <c r="F49" s="55" t="s">
        <v>25</v>
      </c>
      <c r="G49" s="55"/>
      <c r="H49" s="55"/>
      <c r="I49" s="55" t="s">
        <v>8</v>
      </c>
      <c r="J49" s="55" t="s">
        <v>26</v>
      </c>
      <c r="K49" s="41" t="s">
        <v>9</v>
      </c>
    </row>
    <row r="50" spans="1:11" ht="15.75">
      <c r="A50" s="147" t="s">
        <v>68</v>
      </c>
      <c r="B50" s="148"/>
      <c r="C50" s="53"/>
      <c r="D50" s="57">
        <v>8.02</v>
      </c>
      <c r="E50" s="57">
        <v>4</v>
      </c>
      <c r="F50" s="57">
        <v>1.5</v>
      </c>
      <c r="G50" s="57"/>
      <c r="H50" s="57"/>
      <c r="I50" s="57">
        <v>2</v>
      </c>
      <c r="J50" s="57">
        <f>ROUND(SUM(E50*D50*I50*F50),2)</f>
        <v>96.24</v>
      </c>
      <c r="K50" s="149"/>
    </row>
    <row r="51" spans="1:11" ht="15.75">
      <c r="A51" s="147" t="s">
        <v>14</v>
      </c>
      <c r="B51" s="148"/>
      <c r="C51" s="148"/>
      <c r="D51" s="148"/>
      <c r="E51" s="148"/>
      <c r="F51" s="148"/>
      <c r="G51" s="148"/>
      <c r="H51" s="148"/>
      <c r="I51" s="148"/>
      <c r="J51" s="42">
        <f>ROUND(SUM(J50:J50),2)</f>
        <v>96.24</v>
      </c>
      <c r="K51" s="149"/>
    </row>
    <row r="52" spans="1:11" ht="15.75">
      <c r="A52" s="157"/>
      <c r="B52" s="158"/>
      <c r="C52" s="158"/>
      <c r="D52" s="158"/>
      <c r="E52" s="158"/>
      <c r="F52" s="158"/>
      <c r="G52" s="158"/>
      <c r="H52" s="158"/>
      <c r="I52" s="158"/>
      <c r="J52" s="158"/>
      <c r="K52" s="159"/>
    </row>
    <row r="53" spans="1:11" ht="30.75" customHeight="1">
      <c r="A53" s="54" t="s">
        <v>3</v>
      </c>
      <c r="B53" s="55" t="s">
        <v>31</v>
      </c>
      <c r="C53" s="143" t="str">
        <f>'PLANILHA ORÇAMENTÁRIA '!C23</f>
        <v>ESCAVAÇÃO MECANIZADA DE VALA COM PROF. MAIOR QUE 1,50 M ATÉ 3,0 M (MÉDIA MONTANTE E JUSANTE/UMA COMPOSIÇÃO POR TRECHO), ESCAVADEIRA (1,2 M3), LARG. DE 1,5 M A 2,5 M, EM SOLO DE 1A CATEGORIA, EM LOCAIS COM ALTO NÍVEL DE INTERFERÊNCIA. AF_09/2024</v>
      </c>
      <c r="D53" s="143"/>
      <c r="E53" s="143"/>
      <c r="F53" s="143"/>
      <c r="G53" s="143"/>
      <c r="H53" s="143"/>
      <c r="I53" s="143"/>
      <c r="J53" s="143"/>
      <c r="K53" s="144"/>
    </row>
    <row r="54" spans="1:11" ht="15.75">
      <c r="A54" s="145" t="s">
        <v>4</v>
      </c>
      <c r="B54" s="146"/>
      <c r="C54" s="55"/>
      <c r="D54" s="55" t="s">
        <v>5</v>
      </c>
      <c r="E54" s="55" t="s">
        <v>6</v>
      </c>
      <c r="F54" s="55" t="s">
        <v>25</v>
      </c>
      <c r="G54" s="55"/>
      <c r="H54" s="55"/>
      <c r="I54" s="55" t="s">
        <v>8</v>
      </c>
      <c r="J54" s="55" t="s">
        <v>26</v>
      </c>
      <c r="K54" s="41" t="s">
        <v>9</v>
      </c>
    </row>
    <row r="55" spans="1:11" ht="15.75">
      <c r="A55" s="147" t="s">
        <v>68</v>
      </c>
      <c r="B55" s="148"/>
      <c r="C55" s="53"/>
      <c r="D55" s="57">
        <f>D50</f>
        <v>8.02</v>
      </c>
      <c r="E55" s="57">
        <v>4</v>
      </c>
      <c r="F55" s="57">
        <v>2</v>
      </c>
      <c r="G55" s="57"/>
      <c r="H55" s="57"/>
      <c r="I55" s="57">
        <v>2</v>
      </c>
      <c r="J55" s="57">
        <f>ROUND(SUM(E55*D55*I55*F55),2)</f>
        <v>128.32</v>
      </c>
      <c r="K55" s="149"/>
    </row>
    <row r="56" spans="1:11" ht="15.75">
      <c r="A56" s="147" t="s">
        <v>14</v>
      </c>
      <c r="B56" s="148"/>
      <c r="C56" s="148"/>
      <c r="D56" s="148"/>
      <c r="E56" s="148"/>
      <c r="F56" s="148"/>
      <c r="G56" s="148"/>
      <c r="H56" s="148"/>
      <c r="I56" s="148"/>
      <c r="J56" s="42">
        <f>ROUND(SUM(J55:J55),2)</f>
        <v>128.32</v>
      </c>
      <c r="K56" s="149"/>
    </row>
    <row r="57" spans="1:11" ht="15.75">
      <c r="A57" s="157"/>
      <c r="B57" s="158"/>
      <c r="C57" s="158"/>
      <c r="D57" s="158"/>
      <c r="E57" s="158"/>
      <c r="F57" s="158"/>
      <c r="G57" s="158"/>
      <c r="H57" s="158"/>
      <c r="I57" s="158"/>
      <c r="J57" s="158"/>
      <c r="K57" s="159"/>
    </row>
    <row r="58" spans="1:11" ht="15.75">
      <c r="A58" s="54" t="s">
        <v>3</v>
      </c>
      <c r="B58" s="55" t="s">
        <v>32</v>
      </c>
      <c r="C58" s="143" t="str">
        <f>'PLANILHA ORÇAMENTÁRIA '!C24</f>
        <v>REATERRO MECANIZADO DE VALA COM MINICARREGADEIRA, COM COMPACTADOR DE SOLOS DE PERCUSSÃO. AF_08/2023</v>
      </c>
      <c r="D58" s="143"/>
      <c r="E58" s="143"/>
      <c r="F58" s="143"/>
      <c r="G58" s="143"/>
      <c r="H58" s="143"/>
      <c r="I58" s="143"/>
      <c r="J58" s="143"/>
      <c r="K58" s="144"/>
    </row>
    <row r="59" spans="1:11" ht="31.5">
      <c r="A59" s="145" t="s">
        <v>4</v>
      </c>
      <c r="B59" s="146"/>
      <c r="C59" s="55"/>
      <c r="D59" s="55" t="s">
        <v>35</v>
      </c>
      <c r="E59" s="55" t="s">
        <v>36</v>
      </c>
      <c r="F59" s="55" t="s">
        <v>285</v>
      </c>
      <c r="G59" s="55"/>
      <c r="H59" s="55"/>
      <c r="I59" s="55" t="s">
        <v>8</v>
      </c>
      <c r="J59" s="55" t="s">
        <v>26</v>
      </c>
      <c r="K59" s="41" t="s">
        <v>9</v>
      </c>
    </row>
    <row r="60" spans="1:11" ht="15.75">
      <c r="A60" s="166" t="s">
        <v>69</v>
      </c>
      <c r="B60" s="167"/>
      <c r="C60" s="57"/>
      <c r="D60" s="57">
        <f>ROUND(SUM(J51+J56),2)</f>
        <v>224.56</v>
      </c>
      <c r="E60" s="57">
        <f>J105</f>
        <v>0.89</v>
      </c>
      <c r="F60" s="57">
        <f>ROUND(SUM(J146+J222),2)</f>
        <v>23.71</v>
      </c>
      <c r="G60" s="57"/>
      <c r="H60" s="57"/>
      <c r="I60" s="57">
        <v>1</v>
      </c>
      <c r="J60" s="57">
        <f>ROUND(SUM((D60-(E60+F60))*I60),2)</f>
        <v>199.96</v>
      </c>
      <c r="K60" s="149" t="s">
        <v>137</v>
      </c>
    </row>
    <row r="61" spans="1:11" ht="15.75">
      <c r="A61" s="147" t="s">
        <v>14</v>
      </c>
      <c r="B61" s="148"/>
      <c r="C61" s="148"/>
      <c r="D61" s="148"/>
      <c r="E61" s="148"/>
      <c r="F61" s="148"/>
      <c r="G61" s="148"/>
      <c r="H61" s="148"/>
      <c r="I61" s="148"/>
      <c r="J61" s="42">
        <f>ROUND(SUM(J60:J60),2)</f>
        <v>199.96</v>
      </c>
      <c r="K61" s="149"/>
    </row>
    <row r="62" spans="1:11" ht="15.75">
      <c r="A62" s="157"/>
      <c r="B62" s="158"/>
      <c r="C62" s="158"/>
      <c r="D62" s="158"/>
      <c r="E62" s="158"/>
      <c r="F62" s="158"/>
      <c r="G62" s="158"/>
      <c r="H62" s="158"/>
      <c r="I62" s="158"/>
      <c r="J62" s="158"/>
      <c r="K62" s="159"/>
    </row>
    <row r="63" spans="1:11" ht="33.75" customHeight="1">
      <c r="A63" s="54" t="s">
        <v>3</v>
      </c>
      <c r="B63" s="55" t="s">
        <v>204</v>
      </c>
      <c r="C63" s="143" t="str">
        <f>'PLANILHA ORÇAMENTÁRIA '!C25</f>
        <v>CARGA, MANOBRA E DESCARGA DE SOLOS E MATERIAIS GRANULARES EM CAMINHÃO BASCULANTE 18 M³ - CARGA COM PÁ CARREGADEIRA (CAÇAMBA DE 1,7 A 2,8 M³ / 128 HP) E DESCARGA LIVRE (UNIDADE: M3). AF_07/2020</v>
      </c>
      <c r="D63" s="143"/>
      <c r="E63" s="143"/>
      <c r="F63" s="143"/>
      <c r="G63" s="143"/>
      <c r="H63" s="143"/>
      <c r="I63" s="143"/>
      <c r="J63" s="143"/>
      <c r="K63" s="144"/>
    </row>
    <row r="64" spans="1:11" ht="15.75">
      <c r="A64" s="145" t="s">
        <v>4</v>
      </c>
      <c r="B64" s="146"/>
      <c r="C64" s="55"/>
      <c r="D64" s="55" t="s">
        <v>35</v>
      </c>
      <c r="E64" s="55" t="s">
        <v>266</v>
      </c>
      <c r="F64" s="55"/>
      <c r="G64" s="55"/>
      <c r="H64" s="55"/>
      <c r="I64" s="55" t="s">
        <v>8</v>
      </c>
      <c r="J64" s="55" t="s">
        <v>138</v>
      </c>
      <c r="K64" s="41" t="s">
        <v>9</v>
      </c>
    </row>
    <row r="65" spans="1:11" ht="15.75">
      <c r="A65" s="166"/>
      <c r="B65" s="167"/>
      <c r="C65" s="57"/>
      <c r="D65" s="57">
        <f>J51+J56</f>
        <v>224.56</v>
      </c>
      <c r="E65" s="57">
        <f>J61</f>
        <v>199.96</v>
      </c>
      <c r="F65" s="57"/>
      <c r="G65" s="57"/>
      <c r="H65" s="57"/>
      <c r="I65" s="57">
        <v>1</v>
      </c>
      <c r="J65" s="57">
        <f>ROUND(SUM(D65-E65),2)</f>
        <v>24.6</v>
      </c>
      <c r="K65" s="149"/>
    </row>
    <row r="66" spans="1:11" ht="15.75">
      <c r="A66" s="147" t="s">
        <v>14</v>
      </c>
      <c r="B66" s="148"/>
      <c r="C66" s="148"/>
      <c r="D66" s="148"/>
      <c r="E66" s="148"/>
      <c r="F66" s="148"/>
      <c r="G66" s="148"/>
      <c r="H66" s="148"/>
      <c r="I66" s="148"/>
      <c r="J66" s="42">
        <f>ROUND(SUM(J65:J65),2)</f>
        <v>24.6</v>
      </c>
      <c r="K66" s="149"/>
    </row>
    <row r="67" spans="1:11" ht="15.75">
      <c r="A67" s="157"/>
      <c r="B67" s="158"/>
      <c r="C67" s="158"/>
      <c r="D67" s="158"/>
      <c r="E67" s="158"/>
      <c r="F67" s="158"/>
      <c r="G67" s="158"/>
      <c r="H67" s="158"/>
      <c r="I67" s="158"/>
      <c r="J67" s="158"/>
      <c r="K67" s="159"/>
    </row>
    <row r="68" spans="1:11" ht="15.75">
      <c r="A68" s="54" t="s">
        <v>3</v>
      </c>
      <c r="B68" s="55" t="s">
        <v>206</v>
      </c>
      <c r="C68" s="143" t="str">
        <f>'PLANILHA ORÇAMENTÁRIA '!C26</f>
        <v>TRANSPORTE COM CAMINHÃO BASCULANTE DE 18 M³, EM VIA URBANA EM LEITO NATURAL (UNIDADE: M3XKM). AF_07/2020 (BOTA-FORA)</v>
      </c>
      <c r="D68" s="143"/>
      <c r="E68" s="143"/>
      <c r="F68" s="143"/>
      <c r="G68" s="143"/>
      <c r="H68" s="143"/>
      <c r="I68" s="143"/>
      <c r="J68" s="143"/>
      <c r="K68" s="144"/>
    </row>
    <row r="69" spans="1:11" ht="31.5">
      <c r="A69" s="145" t="s">
        <v>4</v>
      </c>
      <c r="B69" s="146"/>
      <c r="C69" s="55"/>
      <c r="D69" s="55" t="s">
        <v>35</v>
      </c>
      <c r="E69" s="55"/>
      <c r="F69" s="55" t="s">
        <v>70</v>
      </c>
      <c r="G69" s="55"/>
      <c r="H69" s="55"/>
      <c r="I69" s="55" t="s">
        <v>8</v>
      </c>
      <c r="J69" s="55" t="s">
        <v>139</v>
      </c>
      <c r="K69" s="41" t="s">
        <v>9</v>
      </c>
    </row>
    <row r="70" spans="1:11" ht="15.75">
      <c r="A70" s="166"/>
      <c r="B70" s="167"/>
      <c r="C70" s="57"/>
      <c r="D70" s="57">
        <f>J66</f>
        <v>24.6</v>
      </c>
      <c r="E70" s="57"/>
      <c r="F70" s="57">
        <v>5</v>
      </c>
      <c r="G70" s="57"/>
      <c r="H70" s="57"/>
      <c r="I70" s="57">
        <v>1</v>
      </c>
      <c r="J70" s="57">
        <f>ROUND(SUM(F70*D70*I70),2)</f>
        <v>123</v>
      </c>
      <c r="K70" s="149"/>
    </row>
    <row r="71" spans="1:11" ht="15.75">
      <c r="A71" s="147" t="s">
        <v>14</v>
      </c>
      <c r="B71" s="148"/>
      <c r="C71" s="148"/>
      <c r="D71" s="148"/>
      <c r="E71" s="148"/>
      <c r="F71" s="148"/>
      <c r="G71" s="148"/>
      <c r="H71" s="148"/>
      <c r="I71" s="148"/>
      <c r="J71" s="42">
        <f>ROUND(SUM(J70:J70),2)</f>
        <v>123</v>
      </c>
      <c r="K71" s="149"/>
    </row>
    <row r="72" spans="1:11" ht="15.75">
      <c r="A72" s="157"/>
      <c r="B72" s="158"/>
      <c r="C72" s="158"/>
      <c r="D72" s="158"/>
      <c r="E72" s="158"/>
      <c r="F72" s="158"/>
      <c r="G72" s="158"/>
      <c r="H72" s="158"/>
      <c r="I72" s="158"/>
      <c r="J72" s="158"/>
      <c r="K72" s="159"/>
    </row>
    <row r="73" spans="1:11" ht="15.75">
      <c r="A73" s="160" t="s">
        <v>38</v>
      </c>
      <c r="B73" s="161"/>
      <c r="C73" s="162" t="s">
        <v>61</v>
      </c>
      <c r="D73" s="162"/>
      <c r="E73" s="162"/>
      <c r="F73" s="162"/>
      <c r="G73" s="162"/>
      <c r="H73" s="162"/>
      <c r="I73" s="162"/>
      <c r="J73" s="162"/>
      <c r="K73" s="163"/>
    </row>
    <row r="74" spans="1:11" ht="15.75">
      <c r="A74" s="54" t="s">
        <v>3</v>
      </c>
      <c r="B74" s="55" t="s">
        <v>39</v>
      </c>
      <c r="C74" s="143" t="str">
        <f>'PLANILHA ORÇAMENTÁRIA '!C28</f>
        <v>LOCAÇÃO CONVENCIONAL DE OBRA, UTILIZANDO GABARITO DE TÁBUAS CORRIDAS PONTALETADAS A CADA 1,50M - 2 UTILIZAÇÕES. AF_03/2024</v>
      </c>
      <c r="D74" s="143"/>
      <c r="E74" s="143"/>
      <c r="F74" s="143"/>
      <c r="G74" s="143"/>
      <c r="H74" s="143"/>
      <c r="I74" s="143"/>
      <c r="J74" s="143"/>
      <c r="K74" s="144"/>
    </row>
    <row r="75" spans="1:11" ht="15.75">
      <c r="A75" s="145" t="s">
        <v>4</v>
      </c>
      <c r="B75" s="146"/>
      <c r="C75" s="55"/>
      <c r="D75" s="55" t="s">
        <v>5</v>
      </c>
      <c r="E75" s="55"/>
      <c r="F75" s="55"/>
      <c r="G75" s="55"/>
      <c r="H75" s="55"/>
      <c r="I75" s="55" t="s">
        <v>8</v>
      </c>
      <c r="J75" s="55" t="s">
        <v>54</v>
      </c>
      <c r="K75" s="41" t="s">
        <v>9</v>
      </c>
    </row>
    <row r="76" spans="1:11" ht="31.5">
      <c r="A76" s="147" t="s">
        <v>71</v>
      </c>
      <c r="B76" s="148"/>
      <c r="C76" s="53" t="s">
        <v>72</v>
      </c>
      <c r="D76" s="53">
        <f>4.2+2.5+0.4+2.33+3.87+2.33+0.4+2.5</f>
        <v>18.53</v>
      </c>
      <c r="E76" s="53"/>
      <c r="F76" s="53"/>
      <c r="G76" s="53"/>
      <c r="H76" s="53"/>
      <c r="I76" s="57">
        <v>2</v>
      </c>
      <c r="J76" s="57">
        <f>ROUND(SUM(D76*I76),2)</f>
        <v>37.06</v>
      </c>
      <c r="K76" s="149"/>
    </row>
    <row r="77" spans="1:11" ht="15.75">
      <c r="A77" s="147" t="s">
        <v>76</v>
      </c>
      <c r="B77" s="148"/>
      <c r="C77" s="53" t="s">
        <v>73</v>
      </c>
      <c r="D77" s="57">
        <f>0.6+0.6+0.6+0.6</f>
        <v>2.4</v>
      </c>
      <c r="E77" s="53"/>
      <c r="F77" s="53"/>
      <c r="G77" s="53"/>
      <c r="H77" s="53"/>
      <c r="I77" s="57">
        <v>4</v>
      </c>
      <c r="J77" s="112">
        <f t="shared" ref="J77:J79" si="0">ROUND(SUM(D77*I77),2)</f>
        <v>9.6</v>
      </c>
      <c r="K77" s="149"/>
    </row>
    <row r="78" spans="1:11" ht="15.75">
      <c r="A78" s="147" t="s">
        <v>77</v>
      </c>
      <c r="B78" s="148"/>
      <c r="C78" s="53" t="s">
        <v>74</v>
      </c>
      <c r="D78" s="57">
        <f>1.4+1.4+1.4+1.4</f>
        <v>5.6</v>
      </c>
      <c r="E78" s="53"/>
      <c r="F78" s="53"/>
      <c r="G78" s="53"/>
      <c r="H78" s="53"/>
      <c r="I78" s="57">
        <v>4</v>
      </c>
      <c r="J78" s="112">
        <f t="shared" si="0"/>
        <v>22.4</v>
      </c>
      <c r="K78" s="149"/>
    </row>
    <row r="79" spans="1:11" ht="15.75">
      <c r="A79" s="164" t="s">
        <v>284</v>
      </c>
      <c r="B79" s="165"/>
      <c r="C79" s="53" t="s">
        <v>253</v>
      </c>
      <c r="D79" s="57">
        <f>2+2+1.4+1.4</f>
        <v>6.8000000000000007</v>
      </c>
      <c r="E79" s="53"/>
      <c r="F79" s="53"/>
      <c r="G79" s="53"/>
      <c r="H79" s="53"/>
      <c r="I79" s="57">
        <v>2</v>
      </c>
      <c r="J79" s="112">
        <f t="shared" si="0"/>
        <v>13.6</v>
      </c>
      <c r="K79" s="149"/>
    </row>
    <row r="80" spans="1:11" ht="15.75">
      <c r="A80" s="147" t="s">
        <v>14</v>
      </c>
      <c r="B80" s="148"/>
      <c r="C80" s="148"/>
      <c r="D80" s="148"/>
      <c r="E80" s="148"/>
      <c r="F80" s="148"/>
      <c r="G80" s="148"/>
      <c r="H80" s="148"/>
      <c r="I80" s="148"/>
      <c r="J80" s="42">
        <f>ROUND(SUM(J76:J79),2)</f>
        <v>82.66</v>
      </c>
      <c r="K80" s="149"/>
    </row>
    <row r="81" spans="1:11" ht="15.75">
      <c r="A81" s="157"/>
      <c r="B81" s="158"/>
      <c r="C81" s="158"/>
      <c r="D81" s="158"/>
      <c r="E81" s="158"/>
      <c r="F81" s="158"/>
      <c r="G81" s="158"/>
      <c r="H81" s="158"/>
      <c r="I81" s="158"/>
      <c r="J81" s="158"/>
      <c r="K81" s="159"/>
    </row>
    <row r="82" spans="1:11" ht="15.75">
      <c r="A82" s="54" t="s">
        <v>3</v>
      </c>
      <c r="B82" s="55" t="s">
        <v>40</v>
      </c>
      <c r="C82" s="143" t="str">
        <f>'PLANILHA ORÇAMENTÁRIA '!C29</f>
        <v>ESCAVAÇÃO MANUAL DE VALA. AF_09/2024</v>
      </c>
      <c r="D82" s="143"/>
      <c r="E82" s="143"/>
      <c r="F82" s="143"/>
      <c r="G82" s="143"/>
      <c r="H82" s="143"/>
      <c r="I82" s="143"/>
      <c r="J82" s="143"/>
      <c r="K82" s="144"/>
    </row>
    <row r="83" spans="1:11" ht="47.25">
      <c r="A83" s="145" t="s">
        <v>4</v>
      </c>
      <c r="B83" s="146"/>
      <c r="C83" s="55"/>
      <c r="D83" s="55" t="s">
        <v>78</v>
      </c>
      <c r="E83" s="55" t="s">
        <v>79</v>
      </c>
      <c r="F83" s="55" t="s">
        <v>80</v>
      </c>
      <c r="G83" s="55"/>
      <c r="H83" s="55"/>
      <c r="I83" s="55" t="s">
        <v>8</v>
      </c>
      <c r="J83" s="55" t="s">
        <v>26</v>
      </c>
      <c r="K83" s="41" t="s">
        <v>9</v>
      </c>
    </row>
    <row r="84" spans="1:11" ht="15.75">
      <c r="A84" s="147" t="s">
        <v>81</v>
      </c>
      <c r="B84" s="148"/>
      <c r="C84" s="53" t="s">
        <v>75</v>
      </c>
      <c r="D84" s="57">
        <f>9.2+0.2</f>
        <v>9.3999999999999986</v>
      </c>
      <c r="E84" s="57">
        <f>0.75+0.1+0.1</f>
        <v>0.95</v>
      </c>
      <c r="F84" s="57">
        <v>0.35</v>
      </c>
      <c r="G84" s="57"/>
      <c r="H84" s="57"/>
      <c r="I84" s="57">
        <v>2</v>
      </c>
      <c r="J84" s="57">
        <f>ROUND(SUM(D84*E84*F84*I84),2)</f>
        <v>6.25</v>
      </c>
      <c r="K84" s="149"/>
    </row>
    <row r="85" spans="1:11" ht="15.75">
      <c r="A85" s="147" t="str">
        <f>A77</f>
        <v>Bloco 60x60cm</v>
      </c>
      <c r="B85" s="148"/>
      <c r="C85" s="53"/>
      <c r="D85" s="57">
        <f>0.6+0.1+0.1</f>
        <v>0.79999999999999993</v>
      </c>
      <c r="E85" s="57">
        <f>0.6+0.1+0.1</f>
        <v>0.79999999999999993</v>
      </c>
      <c r="F85" s="57">
        <v>0.45</v>
      </c>
      <c r="G85" s="57"/>
      <c r="H85" s="57"/>
      <c r="I85" s="57">
        <v>4</v>
      </c>
      <c r="J85" s="112">
        <f t="shared" ref="J85:J87" si="1">ROUND(SUM(D85*E85*F85*I85),2)</f>
        <v>1.1499999999999999</v>
      </c>
      <c r="K85" s="149"/>
    </row>
    <row r="86" spans="1:11" ht="15.75">
      <c r="A86" s="147" t="str">
        <f t="shared" ref="A86:A87" si="2">A78</f>
        <v>Bloco 140x140cm</v>
      </c>
      <c r="B86" s="148"/>
      <c r="C86" s="53"/>
      <c r="D86" s="57">
        <f>1.4+0.1+0.1</f>
        <v>1.6</v>
      </c>
      <c r="E86" s="57">
        <f>1.4+0.1+0.1</f>
        <v>1.6</v>
      </c>
      <c r="F86" s="57">
        <v>0.85</v>
      </c>
      <c r="G86" s="57"/>
      <c r="H86" s="57"/>
      <c r="I86" s="57">
        <v>4</v>
      </c>
      <c r="J86" s="112">
        <f t="shared" si="1"/>
        <v>8.6999999999999993</v>
      </c>
      <c r="K86" s="149"/>
    </row>
    <row r="87" spans="1:11" ht="15.75">
      <c r="A87" s="147" t="str">
        <f t="shared" si="2"/>
        <v>Bloco 200x140cm</v>
      </c>
      <c r="B87" s="148"/>
      <c r="C87" s="53"/>
      <c r="D87" s="57">
        <f>2+0.1+0.1</f>
        <v>2.2000000000000002</v>
      </c>
      <c r="E87" s="57">
        <f>1.4+0.1+0.1</f>
        <v>1.6</v>
      </c>
      <c r="F87" s="57">
        <v>0.85</v>
      </c>
      <c r="G87" s="57"/>
      <c r="H87" s="57"/>
      <c r="I87" s="57">
        <v>2</v>
      </c>
      <c r="J87" s="112">
        <f t="shared" si="1"/>
        <v>5.98</v>
      </c>
      <c r="K87" s="149"/>
    </row>
    <row r="88" spans="1:11" ht="15.75">
      <c r="A88" s="147" t="s">
        <v>14</v>
      </c>
      <c r="B88" s="148"/>
      <c r="C88" s="148"/>
      <c r="D88" s="148"/>
      <c r="E88" s="148"/>
      <c r="F88" s="148"/>
      <c r="G88" s="148"/>
      <c r="H88" s="148"/>
      <c r="I88" s="148"/>
      <c r="J88" s="42">
        <f>ROUND(SUM(J84:J87),2)</f>
        <v>22.08</v>
      </c>
      <c r="K88" s="149"/>
    </row>
    <row r="89" spans="1:11" ht="15.75">
      <c r="A89" s="157"/>
      <c r="B89" s="158"/>
      <c r="C89" s="158"/>
      <c r="D89" s="158"/>
      <c r="E89" s="158"/>
      <c r="F89" s="158"/>
      <c r="G89" s="158"/>
      <c r="H89" s="158"/>
      <c r="I89" s="158"/>
      <c r="J89" s="158"/>
      <c r="K89" s="159"/>
    </row>
    <row r="90" spans="1:11" ht="15.75">
      <c r="A90" s="54" t="s">
        <v>3</v>
      </c>
      <c r="B90" s="55" t="s">
        <v>41</v>
      </c>
      <c r="C90" s="143" t="str">
        <f>'PLANILHA ORÇAMENTÁRIA '!C30</f>
        <v>ESTACA BROCA DE CONCRETO, DIÂMETRO DE 30CM, ESCAVAÇÃO MANUAL COM TRADO CONCHA, INTEIRAMENTE ARMADA. AF_05/2020</v>
      </c>
      <c r="D90" s="143"/>
      <c r="E90" s="143"/>
      <c r="F90" s="143"/>
      <c r="G90" s="143"/>
      <c r="H90" s="143"/>
      <c r="I90" s="143"/>
      <c r="J90" s="143"/>
      <c r="K90" s="144"/>
    </row>
    <row r="91" spans="1:11" ht="15.75">
      <c r="A91" s="145" t="s">
        <v>4</v>
      </c>
      <c r="B91" s="146"/>
      <c r="C91" s="55"/>
      <c r="D91" s="55" t="s">
        <v>5</v>
      </c>
      <c r="E91" s="55"/>
      <c r="F91" s="55"/>
      <c r="G91" s="55"/>
      <c r="H91" s="55"/>
      <c r="I91" s="55" t="s">
        <v>8</v>
      </c>
      <c r="J91" s="55" t="s">
        <v>5</v>
      </c>
      <c r="K91" s="41" t="s">
        <v>9</v>
      </c>
    </row>
    <row r="92" spans="1:11" ht="15.75">
      <c r="A92" s="147" t="s">
        <v>105</v>
      </c>
      <c r="B92" s="148"/>
      <c r="C92" s="53"/>
      <c r="D92" s="57">
        <v>4.5999999999999996</v>
      </c>
      <c r="E92" s="53"/>
      <c r="F92" s="53"/>
      <c r="G92" s="53"/>
      <c r="H92" s="53"/>
      <c r="I92" s="57">
        <v>32</v>
      </c>
      <c r="J92" s="57">
        <f>ROUND(SUM(D92*I92),2)</f>
        <v>147.19999999999999</v>
      </c>
      <c r="K92" s="149"/>
    </row>
    <row r="93" spans="1:11" ht="15.75">
      <c r="A93" s="147" t="s">
        <v>14</v>
      </c>
      <c r="B93" s="148"/>
      <c r="C93" s="148"/>
      <c r="D93" s="148"/>
      <c r="E93" s="148"/>
      <c r="F93" s="148"/>
      <c r="G93" s="148"/>
      <c r="H93" s="148"/>
      <c r="I93" s="148"/>
      <c r="J93" s="42">
        <f>ROUND(SUM(J92:J92),2)</f>
        <v>147.19999999999999</v>
      </c>
      <c r="K93" s="149"/>
    </row>
    <row r="94" spans="1:11" ht="15.75">
      <c r="A94" s="157"/>
      <c r="B94" s="158"/>
      <c r="C94" s="158"/>
      <c r="D94" s="158"/>
      <c r="E94" s="158"/>
      <c r="F94" s="158"/>
      <c r="G94" s="158"/>
      <c r="H94" s="158"/>
      <c r="I94" s="158"/>
      <c r="J94" s="158"/>
      <c r="K94" s="159"/>
    </row>
    <row r="95" spans="1:11" ht="15.75">
      <c r="A95" s="54" t="s">
        <v>3</v>
      </c>
      <c r="B95" s="55" t="s">
        <v>42</v>
      </c>
      <c r="C95" s="143" t="str">
        <f>'PLANILHA ORÇAMENTÁRIA '!C31</f>
        <v>PREPARO DE FUNDO DE VALA COM LARGURA MENOR QUE 1,5 M (ACERTO DO SOLO NATURAL). AF_08/2020</v>
      </c>
      <c r="D95" s="143"/>
      <c r="E95" s="143"/>
      <c r="F95" s="143"/>
      <c r="G95" s="143"/>
      <c r="H95" s="143"/>
      <c r="I95" s="143"/>
      <c r="J95" s="143"/>
      <c r="K95" s="144"/>
    </row>
    <row r="96" spans="1:11" ht="47.25">
      <c r="A96" s="145" t="s">
        <v>4</v>
      </c>
      <c r="B96" s="146"/>
      <c r="C96" s="55"/>
      <c r="D96" s="55" t="str">
        <f>D83</f>
        <v>Comprimento (m) + 10cm de cada lado p/ forma</v>
      </c>
      <c r="E96" s="55" t="str">
        <f>E83</f>
        <v>Largura (m) + 10cm de cada lado p/ forma</v>
      </c>
      <c r="F96" s="55" t="str">
        <f>F83</f>
        <v>Altura/Espessura (m) + 5cm p/ o lastro</v>
      </c>
      <c r="G96" s="55"/>
      <c r="H96" s="55"/>
      <c r="I96" s="55" t="s">
        <v>8</v>
      </c>
      <c r="J96" s="55" t="s">
        <v>21</v>
      </c>
      <c r="K96" s="41" t="s">
        <v>9</v>
      </c>
    </row>
    <row r="97" spans="1:11" ht="15.75">
      <c r="A97" s="147" t="str">
        <f>A84</f>
        <v xml:space="preserve">Sapata de Apoio Cortina </v>
      </c>
      <c r="B97" s="148"/>
      <c r="C97" s="53"/>
      <c r="D97" s="57">
        <f>D84</f>
        <v>9.3999999999999986</v>
      </c>
      <c r="E97" s="57">
        <f>E84</f>
        <v>0.95</v>
      </c>
      <c r="F97" s="53"/>
      <c r="G97" s="53"/>
      <c r="H97" s="53"/>
      <c r="I97" s="57">
        <f>I84</f>
        <v>2</v>
      </c>
      <c r="J97" s="57">
        <f>ROUND(SUM(D97*E97*I97),2)</f>
        <v>17.86</v>
      </c>
      <c r="K97" s="149"/>
    </row>
    <row r="98" spans="1:11" ht="15.75">
      <c r="A98" s="147" t="str">
        <f>A85</f>
        <v>Bloco 60x60cm</v>
      </c>
      <c r="B98" s="148"/>
      <c r="C98" s="53"/>
      <c r="D98" s="57">
        <f t="shared" ref="D98:E100" si="3">D85</f>
        <v>0.79999999999999993</v>
      </c>
      <c r="E98" s="57">
        <f t="shared" si="3"/>
        <v>0.79999999999999993</v>
      </c>
      <c r="F98" s="53"/>
      <c r="G98" s="53"/>
      <c r="H98" s="53"/>
      <c r="I98" s="57">
        <f t="shared" ref="I98:I100" si="4">I85</f>
        <v>4</v>
      </c>
      <c r="J98" s="112">
        <f t="shared" ref="J98:J100" si="5">ROUND(SUM(D98*E98*I98),2)</f>
        <v>2.56</v>
      </c>
      <c r="K98" s="149"/>
    </row>
    <row r="99" spans="1:11" ht="15.75">
      <c r="A99" s="147" t="str">
        <f>A86</f>
        <v>Bloco 140x140cm</v>
      </c>
      <c r="B99" s="148"/>
      <c r="C99" s="53"/>
      <c r="D99" s="57">
        <f t="shared" si="3"/>
        <v>1.6</v>
      </c>
      <c r="E99" s="57">
        <f t="shared" si="3"/>
        <v>1.6</v>
      </c>
      <c r="F99" s="53"/>
      <c r="G99" s="53"/>
      <c r="H99" s="53"/>
      <c r="I99" s="57">
        <f t="shared" si="4"/>
        <v>4</v>
      </c>
      <c r="J99" s="112">
        <f t="shared" si="5"/>
        <v>10.24</v>
      </c>
      <c r="K99" s="149"/>
    </row>
    <row r="100" spans="1:11" ht="15.75">
      <c r="A100" s="147" t="str">
        <f>A87</f>
        <v>Bloco 200x140cm</v>
      </c>
      <c r="B100" s="148"/>
      <c r="C100" s="53"/>
      <c r="D100" s="57">
        <f t="shared" si="3"/>
        <v>2.2000000000000002</v>
      </c>
      <c r="E100" s="57">
        <f t="shared" si="3"/>
        <v>1.6</v>
      </c>
      <c r="F100" s="53"/>
      <c r="G100" s="53"/>
      <c r="H100" s="53"/>
      <c r="I100" s="57">
        <f t="shared" si="4"/>
        <v>2</v>
      </c>
      <c r="J100" s="112">
        <f t="shared" si="5"/>
        <v>7.04</v>
      </c>
      <c r="K100" s="149"/>
    </row>
    <row r="101" spans="1:11" ht="15.75">
      <c r="A101" s="147" t="s">
        <v>14</v>
      </c>
      <c r="B101" s="148"/>
      <c r="C101" s="148"/>
      <c r="D101" s="148"/>
      <c r="E101" s="148"/>
      <c r="F101" s="148"/>
      <c r="G101" s="148"/>
      <c r="H101" s="148"/>
      <c r="I101" s="148"/>
      <c r="J101" s="42">
        <f>ROUND(SUM(J97:J100),2)</f>
        <v>37.700000000000003</v>
      </c>
      <c r="K101" s="149"/>
    </row>
    <row r="102" spans="1:11" ht="15.75">
      <c r="A102" s="157"/>
      <c r="B102" s="158"/>
      <c r="C102" s="158"/>
      <c r="D102" s="158"/>
      <c r="E102" s="158"/>
      <c r="F102" s="158"/>
      <c r="G102" s="158"/>
      <c r="H102" s="158"/>
      <c r="I102" s="158"/>
      <c r="J102" s="158"/>
      <c r="K102" s="159"/>
    </row>
    <row r="103" spans="1:11" ht="15.75">
      <c r="A103" s="54" t="s">
        <v>3</v>
      </c>
      <c r="B103" s="55" t="s">
        <v>43</v>
      </c>
      <c r="C103" s="143" t="str">
        <f>'PLANILHA ORÇAMENTÁRIA '!C32</f>
        <v>LASTRO DE CONCRETO MAGRO, APLICADO EM BLOCOS DE COROAMENTO OU SAPATAS. AF_01/2024</v>
      </c>
      <c r="D103" s="143"/>
      <c r="E103" s="143"/>
      <c r="F103" s="143"/>
      <c r="G103" s="143"/>
      <c r="H103" s="143"/>
      <c r="I103" s="143"/>
      <c r="J103" s="143"/>
      <c r="K103" s="144"/>
    </row>
    <row r="104" spans="1:11" ht="47.25">
      <c r="A104" s="145" t="s">
        <v>4</v>
      </c>
      <c r="B104" s="146"/>
      <c r="C104" s="55"/>
      <c r="D104" s="55" t="str">
        <f>D96</f>
        <v>Comprimento (m) + 10cm de cada lado p/ forma</v>
      </c>
      <c r="E104" s="55" t="str">
        <f>E96</f>
        <v>Largura (m) + 10cm de cada lado p/ forma</v>
      </c>
      <c r="F104" s="55" t="str">
        <f>F96</f>
        <v>Altura/Espessura (m) + 5cm p/ o lastro</v>
      </c>
      <c r="G104" s="55"/>
      <c r="H104" s="55"/>
      <c r="I104" s="55" t="s">
        <v>8</v>
      </c>
      <c r="J104" s="55" t="s">
        <v>26</v>
      </c>
      <c r="K104" s="41" t="s">
        <v>9</v>
      </c>
    </row>
    <row r="105" spans="1:11" ht="15.75">
      <c r="A105" s="147" t="str">
        <f>A97</f>
        <v xml:space="preserve">Sapata de Apoio Cortina </v>
      </c>
      <c r="B105" s="148"/>
      <c r="C105" s="53"/>
      <c r="D105" s="57">
        <f>D97</f>
        <v>9.3999999999999986</v>
      </c>
      <c r="E105" s="57">
        <f>E97</f>
        <v>0.95</v>
      </c>
      <c r="F105" s="53">
        <v>0.05</v>
      </c>
      <c r="G105" s="53"/>
      <c r="H105" s="53"/>
      <c r="I105" s="57">
        <f>I97</f>
        <v>2</v>
      </c>
      <c r="J105" s="57">
        <f>ROUND(SUM(D105*E105*F105*I105),2)</f>
        <v>0.89</v>
      </c>
      <c r="K105" s="149"/>
    </row>
    <row r="106" spans="1:11" ht="15.75">
      <c r="A106" s="147" t="str">
        <f>A98</f>
        <v>Bloco 60x60cm</v>
      </c>
      <c r="B106" s="148"/>
      <c r="C106" s="53"/>
      <c r="D106" s="57">
        <f t="shared" ref="D106:E106" si="6">D98</f>
        <v>0.79999999999999993</v>
      </c>
      <c r="E106" s="57">
        <f t="shared" si="6"/>
        <v>0.79999999999999993</v>
      </c>
      <c r="F106" s="53">
        <v>0.05</v>
      </c>
      <c r="G106" s="53"/>
      <c r="H106" s="53"/>
      <c r="I106" s="57">
        <f t="shared" ref="I106:I108" si="7">I98</f>
        <v>4</v>
      </c>
      <c r="J106" s="112">
        <f t="shared" ref="J106:J108" si="8">ROUND(SUM(D106*E106*F106*I106),2)</f>
        <v>0.13</v>
      </c>
      <c r="K106" s="149"/>
    </row>
    <row r="107" spans="1:11" ht="15.75">
      <c r="A107" s="147" t="str">
        <f>A99</f>
        <v>Bloco 140x140cm</v>
      </c>
      <c r="B107" s="148"/>
      <c r="C107" s="53"/>
      <c r="D107" s="57">
        <f t="shared" ref="D107:E107" si="9">D99</f>
        <v>1.6</v>
      </c>
      <c r="E107" s="57">
        <f t="shared" si="9"/>
        <v>1.6</v>
      </c>
      <c r="F107" s="53">
        <v>0.05</v>
      </c>
      <c r="G107" s="53"/>
      <c r="H107" s="53"/>
      <c r="I107" s="57">
        <f t="shared" si="7"/>
        <v>4</v>
      </c>
      <c r="J107" s="112">
        <f t="shared" si="8"/>
        <v>0.51</v>
      </c>
      <c r="K107" s="149"/>
    </row>
    <row r="108" spans="1:11" ht="15.75">
      <c r="A108" s="147" t="str">
        <f>A100</f>
        <v>Bloco 200x140cm</v>
      </c>
      <c r="B108" s="148"/>
      <c r="C108" s="53"/>
      <c r="D108" s="57">
        <f t="shared" ref="D108:E108" si="10">D100</f>
        <v>2.2000000000000002</v>
      </c>
      <c r="E108" s="57">
        <f t="shared" si="10"/>
        <v>1.6</v>
      </c>
      <c r="F108" s="53">
        <v>0.05</v>
      </c>
      <c r="G108" s="53"/>
      <c r="H108" s="53"/>
      <c r="I108" s="57">
        <f t="shared" si="7"/>
        <v>2</v>
      </c>
      <c r="J108" s="112">
        <f t="shared" si="8"/>
        <v>0.35</v>
      </c>
      <c r="K108" s="149"/>
    </row>
    <row r="109" spans="1:11" ht="15.75">
      <c r="A109" s="147" t="s">
        <v>14</v>
      </c>
      <c r="B109" s="148"/>
      <c r="C109" s="148"/>
      <c r="D109" s="148"/>
      <c r="E109" s="148"/>
      <c r="F109" s="148"/>
      <c r="G109" s="148"/>
      <c r="H109" s="148"/>
      <c r="I109" s="148"/>
      <c r="J109" s="42">
        <f>ROUND(SUM(J105:J108),2)</f>
        <v>1.88</v>
      </c>
      <c r="K109" s="149"/>
    </row>
    <row r="110" spans="1:11" ht="15.75">
      <c r="A110" s="157"/>
      <c r="B110" s="158"/>
      <c r="C110" s="158"/>
      <c r="D110" s="158"/>
      <c r="E110" s="158"/>
      <c r="F110" s="158"/>
      <c r="G110" s="158"/>
      <c r="H110" s="158"/>
      <c r="I110" s="158"/>
      <c r="J110" s="158"/>
      <c r="K110" s="159"/>
    </row>
    <row r="111" spans="1:11" ht="15.75">
      <c r="A111" s="54" t="s">
        <v>3</v>
      </c>
      <c r="B111" s="55" t="s">
        <v>115</v>
      </c>
      <c r="C111" s="143" t="str">
        <f>'PLANILHA ORÇAMENTÁRIA '!C33</f>
        <v>CORTE E DOBRA DE AÇO CA-50, DIÂMETRO DE 6,3 MM. AF_06/2022</v>
      </c>
      <c r="D111" s="143"/>
      <c r="E111" s="143"/>
      <c r="F111" s="143"/>
      <c r="G111" s="143"/>
      <c r="H111" s="143"/>
      <c r="I111" s="143"/>
      <c r="J111" s="143"/>
      <c r="K111" s="144"/>
    </row>
    <row r="112" spans="1:11" ht="15.75">
      <c r="A112" s="145" t="s">
        <v>4</v>
      </c>
      <c r="B112" s="146"/>
      <c r="C112" s="55"/>
      <c r="D112" s="55" t="s">
        <v>33</v>
      </c>
      <c r="E112" s="55"/>
      <c r="F112" s="55"/>
      <c r="G112" s="55"/>
      <c r="H112" s="55"/>
      <c r="I112" s="55" t="s">
        <v>8</v>
      </c>
      <c r="J112" s="55" t="s">
        <v>34</v>
      </c>
      <c r="K112" s="41" t="s">
        <v>9</v>
      </c>
    </row>
    <row r="113" spans="1:11" ht="15.75">
      <c r="A113" s="147" t="s">
        <v>91</v>
      </c>
      <c r="B113" s="148"/>
      <c r="C113" s="53"/>
      <c r="D113" s="53">
        <v>50.18</v>
      </c>
      <c r="E113" s="53"/>
      <c r="F113" s="53"/>
      <c r="G113" s="53"/>
      <c r="H113" s="53"/>
      <c r="I113" s="57">
        <v>1</v>
      </c>
      <c r="J113" s="57">
        <f>ROUND(SUM(D113*I113),2)</f>
        <v>50.18</v>
      </c>
      <c r="K113" s="149"/>
    </row>
    <row r="114" spans="1:11" ht="15.75">
      <c r="A114" s="147" t="s">
        <v>14</v>
      </c>
      <c r="B114" s="148"/>
      <c r="C114" s="148"/>
      <c r="D114" s="148"/>
      <c r="E114" s="148"/>
      <c r="F114" s="148"/>
      <c r="G114" s="148"/>
      <c r="H114" s="148"/>
      <c r="I114" s="148"/>
      <c r="J114" s="42">
        <f>ROUND(SUM(J113:J113),2)</f>
        <v>50.18</v>
      </c>
      <c r="K114" s="149"/>
    </row>
    <row r="115" spans="1:11" ht="15.75">
      <c r="A115" s="157"/>
      <c r="B115" s="158"/>
      <c r="C115" s="158"/>
      <c r="D115" s="158"/>
      <c r="E115" s="158"/>
      <c r="F115" s="158"/>
      <c r="G115" s="158"/>
      <c r="H115" s="158"/>
      <c r="I115" s="158"/>
      <c r="J115" s="158"/>
      <c r="K115" s="159"/>
    </row>
    <row r="116" spans="1:11" ht="15.75">
      <c r="A116" s="54" t="s">
        <v>3</v>
      </c>
      <c r="B116" s="55" t="s">
        <v>116</v>
      </c>
      <c r="C116" s="143" t="str">
        <f>'PLANILHA ORÇAMENTÁRIA '!C34</f>
        <v>CORTE E DOBRA DE AÇO CA-50, DIÂMETRO DE 8,0 MM. AF_06/2022</v>
      </c>
      <c r="D116" s="143"/>
      <c r="E116" s="143"/>
      <c r="F116" s="143"/>
      <c r="G116" s="143"/>
      <c r="H116" s="143"/>
      <c r="I116" s="143"/>
      <c r="J116" s="143"/>
      <c r="K116" s="144"/>
    </row>
    <row r="117" spans="1:11" ht="15.75">
      <c r="A117" s="145" t="s">
        <v>4</v>
      </c>
      <c r="B117" s="146"/>
      <c r="C117" s="55"/>
      <c r="D117" s="55" t="s">
        <v>33</v>
      </c>
      <c r="E117" s="55"/>
      <c r="F117" s="55"/>
      <c r="G117" s="55"/>
      <c r="H117" s="55"/>
      <c r="I117" s="55" t="s">
        <v>8</v>
      </c>
      <c r="J117" s="55" t="s">
        <v>34</v>
      </c>
      <c r="K117" s="41" t="s">
        <v>9</v>
      </c>
    </row>
    <row r="118" spans="1:11" ht="15.75">
      <c r="A118" s="147" t="s">
        <v>91</v>
      </c>
      <c r="B118" s="148"/>
      <c r="C118" s="53"/>
      <c r="D118" s="53">
        <v>166.85</v>
      </c>
      <c r="E118" s="53"/>
      <c r="F118" s="53"/>
      <c r="G118" s="53"/>
      <c r="H118" s="53"/>
      <c r="I118" s="57">
        <v>1</v>
      </c>
      <c r="J118" s="57">
        <f>ROUND(SUM(D118*I118),2)</f>
        <v>166.85</v>
      </c>
      <c r="K118" s="149"/>
    </row>
    <row r="119" spans="1:11" ht="15.75">
      <c r="A119" s="147" t="s">
        <v>14</v>
      </c>
      <c r="B119" s="148"/>
      <c r="C119" s="148"/>
      <c r="D119" s="148"/>
      <c r="E119" s="148"/>
      <c r="F119" s="148"/>
      <c r="G119" s="148"/>
      <c r="H119" s="148"/>
      <c r="I119" s="148"/>
      <c r="J119" s="42">
        <f>ROUND(SUM(J118:J118),2)</f>
        <v>166.85</v>
      </c>
      <c r="K119" s="149"/>
    </row>
    <row r="120" spans="1:11" ht="15.75">
      <c r="A120" s="157"/>
      <c r="B120" s="158"/>
      <c r="C120" s="158"/>
      <c r="D120" s="158"/>
      <c r="E120" s="158"/>
      <c r="F120" s="158"/>
      <c r="G120" s="158"/>
      <c r="H120" s="158"/>
      <c r="I120" s="158"/>
      <c r="J120" s="158"/>
      <c r="K120" s="159"/>
    </row>
    <row r="121" spans="1:11" ht="15.75">
      <c r="A121" s="54" t="s">
        <v>3</v>
      </c>
      <c r="B121" s="55" t="s">
        <v>117</v>
      </c>
      <c r="C121" s="143" t="str">
        <f>'PLANILHA ORÇAMENTÁRIA '!C35</f>
        <v>CORTE E DOBRA DE AÇO CA-50, DIÂMETRO DE 10,0 MM. AF_06/2022</v>
      </c>
      <c r="D121" s="143"/>
      <c r="E121" s="143"/>
      <c r="F121" s="143"/>
      <c r="G121" s="143"/>
      <c r="H121" s="143"/>
      <c r="I121" s="143"/>
      <c r="J121" s="143"/>
      <c r="K121" s="144"/>
    </row>
    <row r="122" spans="1:11" ht="15.75">
      <c r="A122" s="145" t="s">
        <v>4</v>
      </c>
      <c r="B122" s="146"/>
      <c r="C122" s="55"/>
      <c r="D122" s="55" t="s">
        <v>33</v>
      </c>
      <c r="E122" s="55"/>
      <c r="F122" s="55"/>
      <c r="G122" s="55"/>
      <c r="H122" s="55"/>
      <c r="I122" s="55" t="s">
        <v>8</v>
      </c>
      <c r="J122" s="55" t="s">
        <v>34</v>
      </c>
      <c r="K122" s="41" t="s">
        <v>9</v>
      </c>
    </row>
    <row r="123" spans="1:11" ht="15.75">
      <c r="A123" s="147" t="s">
        <v>91</v>
      </c>
      <c r="B123" s="148"/>
      <c r="C123" s="53"/>
      <c r="D123" s="53">
        <v>64.62</v>
      </c>
      <c r="E123" s="53"/>
      <c r="F123" s="53"/>
      <c r="G123" s="53"/>
      <c r="H123" s="53"/>
      <c r="I123" s="57">
        <v>1</v>
      </c>
      <c r="J123" s="57">
        <f>ROUND(SUM(D123*I123),2)</f>
        <v>64.62</v>
      </c>
      <c r="K123" s="149"/>
    </row>
    <row r="124" spans="1:11" ht="15.75">
      <c r="A124" s="147" t="s">
        <v>14</v>
      </c>
      <c r="B124" s="148"/>
      <c r="C124" s="148"/>
      <c r="D124" s="148"/>
      <c r="E124" s="148"/>
      <c r="F124" s="148"/>
      <c r="G124" s="148"/>
      <c r="H124" s="148"/>
      <c r="I124" s="148"/>
      <c r="J124" s="42">
        <f>ROUND(SUM(J123:J123),2)</f>
        <v>64.62</v>
      </c>
      <c r="K124" s="149"/>
    </row>
    <row r="125" spans="1:11" ht="15.75">
      <c r="A125" s="157"/>
      <c r="B125" s="158"/>
      <c r="C125" s="158"/>
      <c r="D125" s="158"/>
      <c r="E125" s="158"/>
      <c r="F125" s="158"/>
      <c r="G125" s="158"/>
      <c r="H125" s="158"/>
      <c r="I125" s="158"/>
      <c r="J125" s="158"/>
      <c r="K125" s="159"/>
    </row>
    <row r="126" spans="1:11" ht="15.75">
      <c r="A126" s="54" t="s">
        <v>3</v>
      </c>
      <c r="B126" s="55" t="s">
        <v>118</v>
      </c>
      <c r="C126" s="143" t="str">
        <f>'PLANILHA ORÇAMENTÁRIA '!C36</f>
        <v>CORTE E DOBRA DE AÇO CA-50, DIÂMETRO DE 12,5 MM. AF_06/2022</v>
      </c>
      <c r="D126" s="143"/>
      <c r="E126" s="143"/>
      <c r="F126" s="143"/>
      <c r="G126" s="143"/>
      <c r="H126" s="143"/>
      <c r="I126" s="143"/>
      <c r="J126" s="143"/>
      <c r="K126" s="144"/>
    </row>
    <row r="127" spans="1:11" ht="15.75">
      <c r="A127" s="145" t="s">
        <v>4</v>
      </c>
      <c r="B127" s="146"/>
      <c r="C127" s="55"/>
      <c r="D127" s="55" t="s">
        <v>33</v>
      </c>
      <c r="E127" s="55"/>
      <c r="F127" s="55"/>
      <c r="G127" s="55"/>
      <c r="H127" s="55"/>
      <c r="I127" s="55" t="s">
        <v>8</v>
      </c>
      <c r="J127" s="55" t="s">
        <v>34</v>
      </c>
      <c r="K127" s="41" t="s">
        <v>9</v>
      </c>
    </row>
    <row r="128" spans="1:11" ht="15.75">
      <c r="A128" s="147" t="s">
        <v>91</v>
      </c>
      <c r="B128" s="148"/>
      <c r="C128" s="53"/>
      <c r="D128" s="53">
        <v>258.47000000000003</v>
      </c>
      <c r="E128" s="53"/>
      <c r="F128" s="53"/>
      <c r="G128" s="53"/>
      <c r="H128" s="53"/>
      <c r="I128" s="57">
        <v>1</v>
      </c>
      <c r="J128" s="57">
        <f>ROUND(SUM(D128*I128),2)</f>
        <v>258.47000000000003</v>
      </c>
      <c r="K128" s="149"/>
    </row>
    <row r="129" spans="1:11" ht="15.75">
      <c r="A129" s="147" t="s">
        <v>14</v>
      </c>
      <c r="B129" s="148"/>
      <c r="C129" s="148"/>
      <c r="D129" s="148"/>
      <c r="E129" s="148"/>
      <c r="F129" s="148"/>
      <c r="G129" s="148"/>
      <c r="H129" s="148"/>
      <c r="I129" s="148"/>
      <c r="J129" s="42">
        <f>ROUND(SUM(J128:J128),2)</f>
        <v>258.47000000000003</v>
      </c>
      <c r="K129" s="149"/>
    </row>
    <row r="130" spans="1:11" ht="15.75">
      <c r="A130" s="157"/>
      <c r="B130" s="158"/>
      <c r="C130" s="158"/>
      <c r="D130" s="158"/>
      <c r="E130" s="158"/>
      <c r="F130" s="158"/>
      <c r="G130" s="158"/>
      <c r="H130" s="158"/>
      <c r="I130" s="158"/>
      <c r="J130" s="158"/>
      <c r="K130" s="159"/>
    </row>
    <row r="131" spans="1:11" ht="15.75">
      <c r="A131" s="54" t="s">
        <v>3</v>
      </c>
      <c r="B131" s="55" t="s">
        <v>119</v>
      </c>
      <c r="C131" s="143" t="str">
        <f>'PLANILHA ORÇAMENTÁRIA '!C37</f>
        <v>CORTE E DOBRA DE AÇO CA-50, DIÂMETRO DE 16,0 MM. AF_06/2022</v>
      </c>
      <c r="D131" s="143"/>
      <c r="E131" s="143"/>
      <c r="F131" s="143"/>
      <c r="G131" s="143"/>
      <c r="H131" s="143"/>
      <c r="I131" s="143"/>
      <c r="J131" s="143"/>
      <c r="K131" s="144"/>
    </row>
    <row r="132" spans="1:11" ht="15.75">
      <c r="A132" s="145" t="s">
        <v>4</v>
      </c>
      <c r="B132" s="146"/>
      <c r="C132" s="55"/>
      <c r="D132" s="55" t="s">
        <v>33</v>
      </c>
      <c r="E132" s="55"/>
      <c r="F132" s="55"/>
      <c r="G132" s="55"/>
      <c r="H132" s="55"/>
      <c r="I132" s="55" t="s">
        <v>8</v>
      </c>
      <c r="J132" s="55" t="s">
        <v>34</v>
      </c>
      <c r="K132" s="41" t="s">
        <v>9</v>
      </c>
    </row>
    <row r="133" spans="1:11" ht="15.75">
      <c r="A133" s="147" t="s">
        <v>91</v>
      </c>
      <c r="B133" s="148"/>
      <c r="C133" s="53"/>
      <c r="D133" s="53">
        <v>76.72</v>
      </c>
      <c r="E133" s="53"/>
      <c r="F133" s="53"/>
      <c r="G133" s="53"/>
      <c r="H133" s="53"/>
      <c r="I133" s="57">
        <v>1</v>
      </c>
      <c r="J133" s="57">
        <f>ROUND(SUM(D133*I133),2)</f>
        <v>76.72</v>
      </c>
      <c r="K133" s="149"/>
    </row>
    <row r="134" spans="1:11" ht="15.75">
      <c r="A134" s="147" t="s">
        <v>14</v>
      </c>
      <c r="B134" s="148"/>
      <c r="C134" s="148"/>
      <c r="D134" s="148"/>
      <c r="E134" s="148"/>
      <c r="F134" s="148"/>
      <c r="G134" s="148"/>
      <c r="H134" s="148"/>
      <c r="I134" s="148"/>
      <c r="J134" s="42">
        <f>ROUND(SUM(J133:J133),2)</f>
        <v>76.72</v>
      </c>
      <c r="K134" s="149"/>
    </row>
    <row r="135" spans="1:11" ht="15.75">
      <c r="A135" s="157"/>
      <c r="B135" s="158"/>
      <c r="C135" s="158"/>
      <c r="D135" s="158"/>
      <c r="E135" s="158"/>
      <c r="F135" s="158"/>
      <c r="G135" s="158"/>
      <c r="H135" s="158"/>
      <c r="I135" s="158"/>
      <c r="J135" s="158"/>
      <c r="K135" s="159"/>
    </row>
    <row r="136" spans="1:11" ht="15.75">
      <c r="A136" s="54" t="s">
        <v>3</v>
      </c>
      <c r="B136" s="55" t="s">
        <v>120</v>
      </c>
      <c r="C136" s="143" t="str">
        <f>'PLANILHA ORÇAMENTÁRIA '!C38</f>
        <v>FABRICAÇÃO, MONTAGEM E DESMONTAGEM DE FÔRMA PARA BLOCO DE COROAMENTO, EM MADEIRA SERRADA, E=25 MM, 4 UTILIZAÇÕES. AF_01/2024</v>
      </c>
      <c r="D136" s="143"/>
      <c r="E136" s="143"/>
      <c r="F136" s="143"/>
      <c r="G136" s="143"/>
      <c r="H136" s="143"/>
      <c r="I136" s="143"/>
      <c r="J136" s="143"/>
      <c r="K136" s="144"/>
    </row>
    <row r="137" spans="1:11" ht="15.75">
      <c r="A137" s="145" t="s">
        <v>4</v>
      </c>
      <c r="B137" s="146"/>
      <c r="C137" s="55"/>
      <c r="D137" s="55" t="s">
        <v>5</v>
      </c>
      <c r="E137" s="55" t="s">
        <v>25</v>
      </c>
      <c r="F137" s="55"/>
      <c r="G137" s="55"/>
      <c r="H137" s="55"/>
      <c r="I137" s="55" t="s">
        <v>8</v>
      </c>
      <c r="J137" s="55" t="s">
        <v>21</v>
      </c>
      <c r="K137" s="41" t="s">
        <v>9</v>
      </c>
    </row>
    <row r="138" spans="1:11" ht="15.75">
      <c r="A138" s="147" t="str">
        <f>A105</f>
        <v xml:space="preserve">Sapata de Apoio Cortina </v>
      </c>
      <c r="B138" s="148"/>
      <c r="C138" s="53"/>
      <c r="D138" s="57">
        <f>D76</f>
        <v>18.53</v>
      </c>
      <c r="E138" s="57">
        <v>0.3</v>
      </c>
      <c r="F138" s="57"/>
      <c r="G138" s="53"/>
      <c r="H138" s="53"/>
      <c r="I138" s="57">
        <f>I105</f>
        <v>2</v>
      </c>
      <c r="J138" s="57">
        <f>ROUND(SUM(D138*I138*E138),2)</f>
        <v>11.12</v>
      </c>
      <c r="K138" s="149"/>
    </row>
    <row r="139" spans="1:11" ht="15.75">
      <c r="A139" s="147" t="str">
        <f>A106</f>
        <v>Bloco 60x60cm</v>
      </c>
      <c r="B139" s="148"/>
      <c r="C139" s="53" t="s">
        <v>73</v>
      </c>
      <c r="D139" s="57">
        <f>0.6*4</f>
        <v>2.4</v>
      </c>
      <c r="E139" s="57">
        <v>0.4</v>
      </c>
      <c r="F139" s="57"/>
      <c r="G139" s="53"/>
      <c r="H139" s="53"/>
      <c r="I139" s="57">
        <f>I106</f>
        <v>4</v>
      </c>
      <c r="J139" s="112">
        <f t="shared" ref="J139:J141" si="11">ROUND(SUM(D139*I139*E139),2)</f>
        <v>3.84</v>
      </c>
      <c r="K139" s="149"/>
    </row>
    <row r="140" spans="1:11" ht="15.75">
      <c r="A140" s="147" t="str">
        <f>A107</f>
        <v>Bloco 140x140cm</v>
      </c>
      <c r="B140" s="148"/>
      <c r="C140" s="53" t="s">
        <v>282</v>
      </c>
      <c r="D140" s="57">
        <f>1.4*4</f>
        <v>5.6</v>
      </c>
      <c r="E140" s="57">
        <v>0.8</v>
      </c>
      <c r="F140" s="57"/>
      <c r="G140" s="53"/>
      <c r="H140" s="53"/>
      <c r="I140" s="57">
        <f>I107</f>
        <v>4</v>
      </c>
      <c r="J140" s="112">
        <f t="shared" si="11"/>
        <v>17.920000000000002</v>
      </c>
      <c r="K140" s="149"/>
    </row>
    <row r="141" spans="1:11" ht="15.75">
      <c r="A141" s="147" t="str">
        <f>A108</f>
        <v>Bloco 200x140cm</v>
      </c>
      <c r="B141" s="148"/>
      <c r="C141" s="53" t="s">
        <v>283</v>
      </c>
      <c r="D141" s="57">
        <f>2+2+1.4+1.4</f>
        <v>6.8000000000000007</v>
      </c>
      <c r="E141" s="57">
        <v>0.8</v>
      </c>
      <c r="F141" s="57"/>
      <c r="G141" s="53"/>
      <c r="H141" s="53"/>
      <c r="I141" s="57">
        <v>2</v>
      </c>
      <c r="J141" s="112">
        <f t="shared" si="11"/>
        <v>10.88</v>
      </c>
      <c r="K141" s="149"/>
    </row>
    <row r="142" spans="1:11" ht="15.75">
      <c r="A142" s="147" t="s">
        <v>14</v>
      </c>
      <c r="B142" s="148"/>
      <c r="C142" s="148"/>
      <c r="D142" s="148"/>
      <c r="E142" s="148"/>
      <c r="F142" s="148"/>
      <c r="G142" s="148"/>
      <c r="H142" s="148"/>
      <c r="I142" s="148"/>
      <c r="J142" s="42">
        <f>ROUND(SUM(J138:J141),2)</f>
        <v>43.76</v>
      </c>
      <c r="K142" s="149"/>
    </row>
    <row r="143" spans="1:11" ht="15.75">
      <c r="A143" s="157"/>
      <c r="B143" s="158"/>
      <c r="C143" s="158"/>
      <c r="D143" s="158"/>
      <c r="E143" s="158"/>
      <c r="F143" s="158"/>
      <c r="G143" s="158"/>
      <c r="H143" s="158"/>
      <c r="I143" s="158"/>
      <c r="J143" s="158"/>
      <c r="K143" s="159"/>
    </row>
    <row r="144" spans="1:11" ht="15.75">
      <c r="A144" s="54" t="s">
        <v>3</v>
      </c>
      <c r="B144" s="55" t="s">
        <v>121</v>
      </c>
      <c r="C144" s="143" t="str">
        <f>'PLANILHA ORÇAMENTÁRIA '!C39</f>
        <v>CONCRETO FCK = 30MPA, TRAÇO 1:2,1:2,5 (EM MASSA SECA DE CIMENTO/ AREIA MÉDIA/ BRITA 1) - PREPARO MECÂNICO COM BETONEIRA 600 L. AF_05/2021</v>
      </c>
      <c r="D144" s="143"/>
      <c r="E144" s="143"/>
      <c r="F144" s="143"/>
      <c r="G144" s="143"/>
      <c r="H144" s="143"/>
      <c r="I144" s="143"/>
      <c r="J144" s="143"/>
      <c r="K144" s="144"/>
    </row>
    <row r="145" spans="1:11" ht="15.75">
      <c r="A145" s="145" t="s">
        <v>4</v>
      </c>
      <c r="B145" s="146"/>
      <c r="C145" s="55"/>
      <c r="D145" s="55" t="s">
        <v>5</v>
      </c>
      <c r="E145" s="55" t="s">
        <v>6</v>
      </c>
      <c r="F145" s="55" t="s">
        <v>25</v>
      </c>
      <c r="G145" s="55"/>
      <c r="H145" s="55"/>
      <c r="I145" s="55" t="s">
        <v>8</v>
      </c>
      <c r="J145" s="55" t="s">
        <v>26</v>
      </c>
      <c r="K145" s="41" t="s">
        <v>9</v>
      </c>
    </row>
    <row r="146" spans="1:11" ht="15.75">
      <c r="A146" s="147" t="str">
        <f>A138</f>
        <v xml:space="preserve">Sapata de Apoio Cortina </v>
      </c>
      <c r="B146" s="148"/>
      <c r="C146" s="53"/>
      <c r="D146" s="57">
        <v>9.1999999999999993</v>
      </c>
      <c r="E146" s="57">
        <v>0.75</v>
      </c>
      <c r="F146" s="57">
        <v>0.3</v>
      </c>
      <c r="G146" s="57"/>
      <c r="H146" s="57"/>
      <c r="I146" s="57">
        <v>2</v>
      </c>
      <c r="J146" s="57">
        <f>ROUND(SUM(D146*I146*E146*F146),2)</f>
        <v>4.1399999999999997</v>
      </c>
      <c r="K146" s="171"/>
    </row>
    <row r="147" spans="1:11" ht="15.75">
      <c r="A147" s="147" t="str">
        <f>A139</f>
        <v>Bloco 60x60cm</v>
      </c>
      <c r="B147" s="148"/>
      <c r="C147" s="53"/>
      <c r="D147" s="57">
        <v>0.6</v>
      </c>
      <c r="E147" s="57">
        <v>0.6</v>
      </c>
      <c r="F147" s="57">
        <v>0.4</v>
      </c>
      <c r="G147" s="57"/>
      <c r="H147" s="57"/>
      <c r="I147" s="57">
        <v>4</v>
      </c>
      <c r="J147" s="112">
        <f t="shared" ref="J147:J149" si="12">ROUND(SUM(D147*I147*E147*F147),2)</f>
        <v>0.57999999999999996</v>
      </c>
      <c r="K147" s="149"/>
    </row>
    <row r="148" spans="1:11" ht="15.75">
      <c r="A148" s="147" t="str">
        <f>A140</f>
        <v>Bloco 140x140cm</v>
      </c>
      <c r="B148" s="148"/>
      <c r="C148" s="53"/>
      <c r="D148" s="57">
        <v>1.4</v>
      </c>
      <c r="E148" s="57">
        <v>1.4</v>
      </c>
      <c r="F148" s="57">
        <v>0.8</v>
      </c>
      <c r="G148" s="57"/>
      <c r="H148" s="57"/>
      <c r="I148" s="57">
        <v>4</v>
      </c>
      <c r="J148" s="112">
        <f t="shared" si="12"/>
        <v>6.27</v>
      </c>
      <c r="K148" s="149"/>
    </row>
    <row r="149" spans="1:11" ht="15.75">
      <c r="A149" s="147" t="str">
        <f>A141</f>
        <v>Bloco 200x140cm</v>
      </c>
      <c r="B149" s="148"/>
      <c r="C149" s="53"/>
      <c r="D149" s="57">
        <v>2</v>
      </c>
      <c r="E149" s="57">
        <v>1.4</v>
      </c>
      <c r="F149" s="57">
        <v>0.8</v>
      </c>
      <c r="G149" s="57"/>
      <c r="H149" s="57"/>
      <c r="I149" s="57">
        <v>2</v>
      </c>
      <c r="J149" s="112">
        <f t="shared" si="12"/>
        <v>4.4800000000000004</v>
      </c>
      <c r="K149" s="149"/>
    </row>
    <row r="150" spans="1:11" ht="15.75">
      <c r="A150" s="147" t="s">
        <v>14</v>
      </c>
      <c r="B150" s="148"/>
      <c r="C150" s="148"/>
      <c r="D150" s="148"/>
      <c r="E150" s="148"/>
      <c r="F150" s="148"/>
      <c r="G150" s="148"/>
      <c r="H150" s="148"/>
      <c r="I150" s="148"/>
      <c r="J150" s="42">
        <f>ROUND(SUM(J146:J149),2)</f>
        <v>15.47</v>
      </c>
      <c r="K150" s="149"/>
    </row>
    <row r="151" spans="1:11" ht="15.75">
      <c r="A151" s="157"/>
      <c r="B151" s="158"/>
      <c r="C151" s="158"/>
      <c r="D151" s="158"/>
      <c r="E151" s="158"/>
      <c r="F151" s="158"/>
      <c r="G151" s="158"/>
      <c r="H151" s="158"/>
      <c r="I151" s="158"/>
      <c r="J151" s="158"/>
      <c r="K151" s="159"/>
    </row>
    <row r="152" spans="1:11" ht="15.75">
      <c r="A152" s="54" t="s">
        <v>3</v>
      </c>
      <c r="B152" s="55" t="s">
        <v>122</v>
      </c>
      <c r="C152" s="143" t="str">
        <f>'PLANILHA ORÇAMENTÁRIA '!C40</f>
        <v>LANÇAMENTO COM USO DE BALDES, ADENSAMENTO E ACABAMENTO DE CONCRETO EM ESTRUTURAS. AF_02/2022</v>
      </c>
      <c r="D152" s="143"/>
      <c r="E152" s="143"/>
      <c r="F152" s="143"/>
      <c r="G152" s="143"/>
      <c r="H152" s="143"/>
      <c r="I152" s="143"/>
      <c r="J152" s="143"/>
      <c r="K152" s="144"/>
    </row>
    <row r="153" spans="1:11" ht="15.75">
      <c r="A153" s="145" t="s">
        <v>4</v>
      </c>
      <c r="B153" s="146"/>
      <c r="C153" s="55"/>
      <c r="D153" s="55" t="s">
        <v>5</v>
      </c>
      <c r="E153" s="55" t="s">
        <v>6</v>
      </c>
      <c r="F153" s="55" t="s">
        <v>25</v>
      </c>
      <c r="G153" s="55"/>
      <c r="H153" s="55"/>
      <c r="I153" s="55" t="s">
        <v>8</v>
      </c>
      <c r="J153" s="55" t="s">
        <v>26</v>
      </c>
      <c r="K153" s="41" t="s">
        <v>9</v>
      </c>
    </row>
    <row r="154" spans="1:11" ht="15.75">
      <c r="A154" s="147" t="str">
        <f>A146</f>
        <v xml:space="preserve">Sapata de Apoio Cortina </v>
      </c>
      <c r="B154" s="148"/>
      <c r="C154" s="53"/>
      <c r="D154" s="57">
        <f>D146</f>
        <v>9.1999999999999993</v>
      </c>
      <c r="E154" s="57">
        <f>E146</f>
        <v>0.75</v>
      </c>
      <c r="F154" s="57">
        <f>F146</f>
        <v>0.3</v>
      </c>
      <c r="G154" s="57"/>
      <c r="H154" s="57"/>
      <c r="I154" s="57">
        <f>I146</f>
        <v>2</v>
      </c>
      <c r="J154" s="57">
        <f>ROUND(SUM(D154*I154*E154*F154),2)</f>
        <v>4.1399999999999997</v>
      </c>
      <c r="K154" s="149"/>
    </row>
    <row r="155" spans="1:11" ht="15.75">
      <c r="A155" s="147" t="str">
        <f>A147</f>
        <v>Bloco 60x60cm</v>
      </c>
      <c r="B155" s="148"/>
      <c r="C155" s="53"/>
      <c r="D155" s="57">
        <f t="shared" ref="D155:F155" si="13">D147</f>
        <v>0.6</v>
      </c>
      <c r="E155" s="57">
        <f t="shared" si="13"/>
        <v>0.6</v>
      </c>
      <c r="F155" s="57">
        <f t="shared" si="13"/>
        <v>0.4</v>
      </c>
      <c r="G155" s="57"/>
      <c r="H155" s="57"/>
      <c r="I155" s="57">
        <f t="shared" ref="I155:I157" si="14">I147</f>
        <v>4</v>
      </c>
      <c r="J155" s="112">
        <f t="shared" ref="J155:J157" si="15">ROUND(SUM(D155*I155*E155*F155),2)</f>
        <v>0.57999999999999996</v>
      </c>
      <c r="K155" s="149"/>
    </row>
    <row r="156" spans="1:11" ht="15.75">
      <c r="A156" s="147" t="str">
        <f>A148</f>
        <v>Bloco 140x140cm</v>
      </c>
      <c r="B156" s="148"/>
      <c r="C156" s="53"/>
      <c r="D156" s="57">
        <f t="shared" ref="D156:F156" si="16">D148</f>
        <v>1.4</v>
      </c>
      <c r="E156" s="57">
        <f t="shared" si="16"/>
        <v>1.4</v>
      </c>
      <c r="F156" s="57">
        <f t="shared" si="16"/>
        <v>0.8</v>
      </c>
      <c r="G156" s="57"/>
      <c r="H156" s="57"/>
      <c r="I156" s="57">
        <f t="shared" si="14"/>
        <v>4</v>
      </c>
      <c r="J156" s="112">
        <f t="shared" si="15"/>
        <v>6.27</v>
      </c>
      <c r="K156" s="149"/>
    </row>
    <row r="157" spans="1:11" ht="15.75">
      <c r="A157" s="147" t="str">
        <f>A149</f>
        <v>Bloco 200x140cm</v>
      </c>
      <c r="B157" s="148"/>
      <c r="C157" s="53"/>
      <c r="D157" s="57">
        <f t="shared" ref="D157:F157" si="17">D149</f>
        <v>2</v>
      </c>
      <c r="E157" s="57">
        <f t="shared" si="17"/>
        <v>1.4</v>
      </c>
      <c r="F157" s="57">
        <f t="shared" si="17"/>
        <v>0.8</v>
      </c>
      <c r="G157" s="57"/>
      <c r="H157" s="57"/>
      <c r="I157" s="57">
        <f t="shared" si="14"/>
        <v>2</v>
      </c>
      <c r="J157" s="112">
        <f t="shared" si="15"/>
        <v>4.4800000000000004</v>
      </c>
      <c r="K157" s="149"/>
    </row>
    <row r="158" spans="1:11" ht="15.75">
      <c r="A158" s="147" t="s">
        <v>14</v>
      </c>
      <c r="B158" s="148"/>
      <c r="C158" s="148"/>
      <c r="D158" s="148"/>
      <c r="E158" s="148"/>
      <c r="F158" s="148"/>
      <c r="G158" s="148"/>
      <c r="H158" s="148"/>
      <c r="I158" s="148"/>
      <c r="J158" s="42">
        <f>ROUND(SUM(J154:J157),2)</f>
        <v>15.47</v>
      </c>
      <c r="K158" s="149"/>
    </row>
    <row r="159" spans="1:11" ht="15.75">
      <c r="A159" s="157"/>
      <c r="B159" s="158"/>
      <c r="C159" s="158"/>
      <c r="D159" s="158"/>
      <c r="E159" s="158"/>
      <c r="F159" s="158"/>
      <c r="G159" s="158"/>
      <c r="H159" s="158"/>
      <c r="I159" s="158"/>
      <c r="J159" s="158"/>
      <c r="K159" s="159"/>
    </row>
    <row r="160" spans="1:11" ht="15.75">
      <c r="A160" s="54" t="s">
        <v>3</v>
      </c>
      <c r="B160" s="55" t="s">
        <v>263</v>
      </c>
      <c r="C160" s="143" t="str">
        <f>'PLANILHA ORÇAMENTÁRIA '!C41</f>
        <v>IMPERMEABILIZAÇÃO DE SUPERFÍCIE COM EMULSÃO ASFÁLTICA, 2 DEMÃOS. AF_09/2023</v>
      </c>
      <c r="D160" s="143"/>
      <c r="E160" s="143"/>
      <c r="F160" s="143"/>
      <c r="G160" s="143"/>
      <c r="H160" s="143"/>
      <c r="I160" s="143"/>
      <c r="J160" s="143"/>
      <c r="K160" s="144"/>
    </row>
    <row r="161" spans="1:11" ht="15.75">
      <c r="A161" s="145" t="s">
        <v>4</v>
      </c>
      <c r="B161" s="146"/>
      <c r="C161" s="55"/>
      <c r="D161" s="55" t="s">
        <v>5</v>
      </c>
      <c r="E161" s="55" t="s">
        <v>6</v>
      </c>
      <c r="F161" s="55"/>
      <c r="G161" s="55"/>
      <c r="H161" s="55"/>
      <c r="I161" s="55" t="s">
        <v>8</v>
      </c>
      <c r="J161" s="55" t="s">
        <v>21</v>
      </c>
      <c r="K161" s="41" t="s">
        <v>9</v>
      </c>
    </row>
    <row r="162" spans="1:11" ht="15.75">
      <c r="A162" s="147" t="s">
        <v>82</v>
      </c>
      <c r="B162" s="148"/>
      <c r="C162" s="53"/>
      <c r="D162" s="57">
        <v>9.1999999999999993</v>
      </c>
      <c r="E162" s="57">
        <v>0.35</v>
      </c>
      <c r="F162" s="57"/>
      <c r="G162" s="57"/>
      <c r="H162" s="57"/>
      <c r="I162" s="57">
        <v>2</v>
      </c>
      <c r="J162" s="57">
        <f>ROUND(SUM(D162*E162*I162),2)</f>
        <v>6.44</v>
      </c>
      <c r="K162" s="149"/>
    </row>
    <row r="163" spans="1:11" ht="15.75">
      <c r="A163" s="147" t="s">
        <v>83</v>
      </c>
      <c r="B163" s="148"/>
      <c r="C163" s="53"/>
      <c r="D163" s="57">
        <f>D138</f>
        <v>18.53</v>
      </c>
      <c r="E163" s="57">
        <v>0.3</v>
      </c>
      <c r="F163" s="57"/>
      <c r="G163" s="57"/>
      <c r="H163" s="57"/>
      <c r="I163" s="57">
        <v>2</v>
      </c>
      <c r="J163" s="112">
        <f t="shared" ref="J163:J169" si="18">ROUND(SUM(D163*E163*I163),2)</f>
        <v>11.12</v>
      </c>
      <c r="K163" s="149"/>
    </row>
    <row r="164" spans="1:11" ht="15.75">
      <c r="A164" s="147" t="s">
        <v>84</v>
      </c>
      <c r="B164" s="148"/>
      <c r="C164" s="53"/>
      <c r="D164" s="57">
        <v>0.6</v>
      </c>
      <c r="E164" s="57">
        <v>0.6</v>
      </c>
      <c r="F164" s="57"/>
      <c r="G164" s="57"/>
      <c r="H164" s="57"/>
      <c r="I164" s="57">
        <v>4</v>
      </c>
      <c r="J164" s="112">
        <f t="shared" si="18"/>
        <v>1.44</v>
      </c>
      <c r="K164" s="149"/>
    </row>
    <row r="165" spans="1:11" ht="15.75">
      <c r="A165" s="147" t="s">
        <v>85</v>
      </c>
      <c r="B165" s="148"/>
      <c r="C165" s="53"/>
      <c r="D165" s="57">
        <f>0.6*4</f>
        <v>2.4</v>
      </c>
      <c r="E165" s="57">
        <v>0.4</v>
      </c>
      <c r="F165" s="57"/>
      <c r="G165" s="57"/>
      <c r="H165" s="57"/>
      <c r="I165" s="57">
        <v>4</v>
      </c>
      <c r="J165" s="112">
        <f t="shared" si="18"/>
        <v>3.84</v>
      </c>
      <c r="K165" s="149"/>
    </row>
    <row r="166" spans="1:11" ht="15.75">
      <c r="A166" s="147" t="s">
        <v>86</v>
      </c>
      <c r="B166" s="148"/>
      <c r="C166" s="53"/>
      <c r="D166" s="57">
        <v>1.4</v>
      </c>
      <c r="E166" s="57">
        <v>1.4</v>
      </c>
      <c r="F166" s="57"/>
      <c r="G166" s="57"/>
      <c r="H166" s="57"/>
      <c r="I166" s="57">
        <v>4</v>
      </c>
      <c r="J166" s="112">
        <f t="shared" si="18"/>
        <v>7.84</v>
      </c>
      <c r="K166" s="149"/>
    </row>
    <row r="167" spans="1:11" ht="15.75">
      <c r="A167" s="147" t="s">
        <v>87</v>
      </c>
      <c r="B167" s="148"/>
      <c r="C167" s="53"/>
      <c r="D167" s="57">
        <f>1.4*4</f>
        <v>5.6</v>
      </c>
      <c r="E167" s="57">
        <v>0.8</v>
      </c>
      <c r="F167" s="57"/>
      <c r="G167" s="57"/>
      <c r="H167" s="57"/>
      <c r="I167" s="57">
        <v>4</v>
      </c>
      <c r="J167" s="112">
        <f t="shared" si="18"/>
        <v>17.920000000000002</v>
      </c>
      <c r="K167" s="149"/>
    </row>
    <row r="168" spans="1:11" ht="15.75">
      <c r="A168" s="147" t="s">
        <v>255</v>
      </c>
      <c r="B168" s="148"/>
      <c r="C168" s="53"/>
      <c r="D168" s="57">
        <v>2</v>
      </c>
      <c r="E168" s="57">
        <v>1.4</v>
      </c>
      <c r="F168" s="57"/>
      <c r="G168" s="57"/>
      <c r="H168" s="57"/>
      <c r="I168" s="57">
        <v>2</v>
      </c>
      <c r="J168" s="112">
        <f t="shared" si="18"/>
        <v>5.6</v>
      </c>
      <c r="K168" s="149"/>
    </row>
    <row r="169" spans="1:11" ht="15.75">
      <c r="A169" s="147" t="s">
        <v>256</v>
      </c>
      <c r="B169" s="148"/>
      <c r="C169" s="53" t="s">
        <v>253</v>
      </c>
      <c r="D169" s="57">
        <f>2+2+1.4+1.4</f>
        <v>6.8000000000000007</v>
      </c>
      <c r="E169" s="57">
        <v>0.8</v>
      </c>
      <c r="F169" s="57"/>
      <c r="G169" s="57"/>
      <c r="H169" s="57"/>
      <c r="I169" s="57">
        <v>2</v>
      </c>
      <c r="J169" s="112">
        <f t="shared" si="18"/>
        <v>10.88</v>
      </c>
      <c r="K169" s="149"/>
    </row>
    <row r="170" spans="1:11" ht="15.75">
      <c r="A170" s="164" t="s">
        <v>14</v>
      </c>
      <c r="B170" s="170"/>
      <c r="C170" s="170"/>
      <c r="D170" s="170"/>
      <c r="E170" s="170"/>
      <c r="F170" s="170"/>
      <c r="G170" s="170"/>
      <c r="H170" s="170"/>
      <c r="I170" s="165"/>
      <c r="J170" s="42">
        <f>ROUND(SUM(J162:J169),2)</f>
        <v>65.08</v>
      </c>
      <c r="K170" s="149"/>
    </row>
    <row r="171" spans="1:11" ht="15.75">
      <c r="A171" s="157"/>
      <c r="B171" s="158"/>
      <c r="C171" s="158"/>
      <c r="D171" s="158"/>
      <c r="E171" s="158"/>
      <c r="F171" s="158"/>
      <c r="G171" s="158"/>
      <c r="H171" s="158"/>
      <c r="I171" s="158"/>
      <c r="J171" s="158"/>
      <c r="K171" s="159"/>
    </row>
    <row r="172" spans="1:11" ht="15.75">
      <c r="A172" s="54" t="s">
        <v>3</v>
      </c>
      <c r="B172" s="55" t="s">
        <v>264</v>
      </c>
      <c r="C172" s="143" t="str">
        <f>'PLANILHA ORÇAMENTÁRIA '!C42</f>
        <v>REATERRO MANUAL DE VALAS, COM PLACA VIBRATÓRIA. AF_08/2023</v>
      </c>
      <c r="D172" s="143"/>
      <c r="E172" s="143"/>
      <c r="F172" s="143"/>
      <c r="G172" s="143"/>
      <c r="H172" s="143"/>
      <c r="I172" s="143"/>
      <c r="J172" s="143"/>
      <c r="K172" s="144"/>
    </row>
    <row r="173" spans="1:11" ht="15.75">
      <c r="A173" s="145" t="s">
        <v>4</v>
      </c>
      <c r="B173" s="146"/>
      <c r="C173" s="55"/>
      <c r="D173" s="55" t="s">
        <v>35</v>
      </c>
      <c r="E173" s="55" t="s">
        <v>36</v>
      </c>
      <c r="F173" s="55" t="s">
        <v>37</v>
      </c>
      <c r="G173" s="55"/>
      <c r="H173" s="55"/>
      <c r="I173" s="55" t="s">
        <v>8</v>
      </c>
      <c r="J173" s="55" t="s">
        <v>21</v>
      </c>
      <c r="K173" s="41" t="s">
        <v>9</v>
      </c>
    </row>
    <row r="174" spans="1:11" ht="15.75">
      <c r="A174" s="147"/>
      <c r="B174" s="148"/>
      <c r="C174" s="53"/>
      <c r="D174" s="57">
        <f>J88</f>
        <v>22.08</v>
      </c>
      <c r="E174" s="57">
        <f>J109</f>
        <v>1.88</v>
      </c>
      <c r="F174" s="57">
        <f>J150</f>
        <v>15.47</v>
      </c>
      <c r="G174" s="53"/>
      <c r="H174" s="53"/>
      <c r="I174" s="57">
        <v>1</v>
      </c>
      <c r="J174" s="57">
        <f>ROUND(SUM((D174-(E174+F174))*I174),2)</f>
        <v>4.7300000000000004</v>
      </c>
      <c r="K174" s="149"/>
    </row>
    <row r="175" spans="1:11" ht="15.75">
      <c r="A175" s="147" t="s">
        <v>14</v>
      </c>
      <c r="B175" s="148"/>
      <c r="C175" s="148"/>
      <c r="D175" s="148"/>
      <c r="E175" s="148"/>
      <c r="F175" s="148"/>
      <c r="G175" s="148"/>
      <c r="H175" s="148"/>
      <c r="I175" s="148"/>
      <c r="J175" s="42">
        <f>ROUND(SUM(J174:J174),2)</f>
        <v>4.7300000000000004</v>
      </c>
      <c r="K175" s="149"/>
    </row>
    <row r="176" spans="1:11" ht="15.75">
      <c r="A176" s="157"/>
      <c r="B176" s="158"/>
      <c r="C176" s="158"/>
      <c r="D176" s="158"/>
      <c r="E176" s="158"/>
      <c r="F176" s="158"/>
      <c r="G176" s="158"/>
      <c r="H176" s="158"/>
      <c r="I176" s="158"/>
      <c r="J176" s="158"/>
      <c r="K176" s="159"/>
    </row>
    <row r="177" spans="1:11" ht="15.75">
      <c r="A177" s="160" t="s">
        <v>44</v>
      </c>
      <c r="B177" s="161"/>
      <c r="C177" s="162" t="s">
        <v>62</v>
      </c>
      <c r="D177" s="162"/>
      <c r="E177" s="162"/>
      <c r="F177" s="162"/>
      <c r="G177" s="162"/>
      <c r="H177" s="162"/>
      <c r="I177" s="162"/>
      <c r="J177" s="162"/>
      <c r="K177" s="163"/>
    </row>
    <row r="178" spans="1:11" ht="15.75">
      <c r="A178" s="54" t="s">
        <v>3</v>
      </c>
      <c r="B178" s="55" t="s">
        <v>45</v>
      </c>
      <c r="C178" s="143" t="str">
        <f>'PLANILHA ORÇAMENTÁRIA '!C44</f>
        <v>FABRICAÇÃO DE FÔRMA PARA PILARES E ESTRUTURAS SIMILARES, EM CHAPA DE MADEIRA COMPENSADA PLASTIFICADA, E = 18 MM. AF_09/2020</v>
      </c>
      <c r="D178" s="143"/>
      <c r="E178" s="143"/>
      <c r="F178" s="143"/>
      <c r="G178" s="143"/>
      <c r="H178" s="143"/>
      <c r="I178" s="143"/>
      <c r="J178" s="143"/>
      <c r="K178" s="144"/>
    </row>
    <row r="179" spans="1:11" ht="15.75">
      <c r="A179" s="145" t="s">
        <v>4</v>
      </c>
      <c r="B179" s="146"/>
      <c r="C179" s="55"/>
      <c r="D179" s="55" t="s">
        <v>5</v>
      </c>
      <c r="E179" s="55" t="s">
        <v>25</v>
      </c>
      <c r="F179" s="55"/>
      <c r="G179" s="55"/>
      <c r="H179" s="55"/>
      <c r="I179" s="55" t="s">
        <v>8</v>
      </c>
      <c r="J179" s="55" t="s">
        <v>21</v>
      </c>
      <c r="K179" s="41" t="s">
        <v>9</v>
      </c>
    </row>
    <row r="180" spans="1:11" ht="15.75">
      <c r="A180" s="147" t="s">
        <v>88</v>
      </c>
      <c r="B180" s="148"/>
      <c r="C180" s="53" t="s">
        <v>94</v>
      </c>
      <c r="D180" s="57">
        <f>0.4*4</f>
        <v>1.6</v>
      </c>
      <c r="E180" s="57">
        <v>3</v>
      </c>
      <c r="F180" s="57"/>
      <c r="G180" s="53"/>
      <c r="H180" s="53"/>
      <c r="I180" s="57">
        <v>4</v>
      </c>
      <c r="J180" s="57">
        <f>ROUND(SUM(D180*E180*I180),2)</f>
        <v>19.2</v>
      </c>
      <c r="K180" s="149"/>
    </row>
    <row r="181" spans="1:11" ht="15.75">
      <c r="A181" s="147" t="s">
        <v>89</v>
      </c>
      <c r="B181" s="148"/>
      <c r="C181" s="53" t="s">
        <v>95</v>
      </c>
      <c r="D181" s="57">
        <f>0.6*2+0.3*2</f>
        <v>1.7999999999999998</v>
      </c>
      <c r="E181" s="57">
        <v>2.1</v>
      </c>
      <c r="F181" s="57"/>
      <c r="G181" s="53"/>
      <c r="H181" s="53"/>
      <c r="I181" s="57">
        <v>4</v>
      </c>
      <c r="J181" s="112">
        <f t="shared" ref="J181:J182" si="19">ROUND(SUM(D181*E181*I181),2)</f>
        <v>15.12</v>
      </c>
      <c r="K181" s="149"/>
    </row>
    <row r="182" spans="1:11" ht="15.75">
      <c r="A182" s="164" t="s">
        <v>257</v>
      </c>
      <c r="B182" s="165"/>
      <c r="C182" s="53" t="s">
        <v>258</v>
      </c>
      <c r="D182" s="57">
        <f>1.2+1.2+0.6+0.6</f>
        <v>3.6</v>
      </c>
      <c r="E182" s="57">
        <v>2.1</v>
      </c>
      <c r="F182" s="57"/>
      <c r="G182" s="53"/>
      <c r="H182" s="53"/>
      <c r="I182" s="57">
        <v>2</v>
      </c>
      <c r="J182" s="112">
        <f t="shared" si="19"/>
        <v>15.12</v>
      </c>
      <c r="K182" s="149"/>
    </row>
    <row r="183" spans="1:11" ht="15.75">
      <c r="A183" s="147" t="s">
        <v>14</v>
      </c>
      <c r="B183" s="148"/>
      <c r="C183" s="148"/>
      <c r="D183" s="148"/>
      <c r="E183" s="148"/>
      <c r="F183" s="148"/>
      <c r="G183" s="148"/>
      <c r="H183" s="148"/>
      <c r="I183" s="148"/>
      <c r="J183" s="42">
        <f>ROUND(SUM(J180:J182),2)</f>
        <v>49.44</v>
      </c>
      <c r="K183" s="149"/>
    </row>
    <row r="184" spans="1:11" ht="15.75">
      <c r="A184" s="157"/>
      <c r="B184" s="158"/>
      <c r="C184" s="158"/>
      <c r="D184" s="158"/>
      <c r="E184" s="158"/>
      <c r="F184" s="158"/>
      <c r="G184" s="158"/>
      <c r="H184" s="158"/>
      <c r="I184" s="158"/>
      <c r="J184" s="158"/>
      <c r="K184" s="159"/>
    </row>
    <row r="185" spans="1:11" ht="15.75">
      <c r="A185" s="54" t="s">
        <v>3</v>
      </c>
      <c r="B185" s="55" t="s">
        <v>46</v>
      </c>
      <c r="C185" s="143" t="str">
        <f>'PLANILHA ORÇAMENTÁRIA '!C45</f>
        <v>FABRICAÇÃO, MONTAGEM E DESMONTAGEM DE FÔRMA PARA CORTINA DE CONTENÇÃO, EM CHAPA DE MADEIRA COMPENSADA PLASTIFICADA, E = 18 MM, 10 UTILIZAÇÕES. AF_11/2024</v>
      </c>
      <c r="D185" s="143"/>
      <c r="E185" s="143"/>
      <c r="F185" s="143"/>
      <c r="G185" s="143"/>
      <c r="H185" s="143"/>
      <c r="I185" s="143"/>
      <c r="J185" s="143"/>
      <c r="K185" s="144"/>
    </row>
    <row r="186" spans="1:11" ht="15.75">
      <c r="A186" s="145" t="s">
        <v>4</v>
      </c>
      <c r="B186" s="146"/>
      <c r="C186" s="55"/>
      <c r="D186" s="55" t="s">
        <v>5</v>
      </c>
      <c r="E186" s="55" t="s">
        <v>6</v>
      </c>
      <c r="F186" s="55" t="s">
        <v>25</v>
      </c>
      <c r="G186" s="55"/>
      <c r="H186" s="55"/>
      <c r="I186" s="55" t="s">
        <v>8</v>
      </c>
      <c r="J186" s="55" t="s">
        <v>21</v>
      </c>
      <c r="K186" s="41" t="s">
        <v>9</v>
      </c>
    </row>
    <row r="187" spans="1:11" ht="15.75">
      <c r="A187" s="147" t="s">
        <v>90</v>
      </c>
      <c r="B187" s="148"/>
      <c r="C187" s="53" t="s">
        <v>259</v>
      </c>
      <c r="D187" s="57">
        <f>9.2+9.2</f>
        <v>18.399999999999999</v>
      </c>
      <c r="E187" s="53"/>
      <c r="F187" s="53">
        <f>(3.5+3)/2</f>
        <v>3.25</v>
      </c>
      <c r="G187" s="53"/>
      <c r="H187" s="53"/>
      <c r="I187" s="57">
        <v>2</v>
      </c>
      <c r="J187" s="57">
        <f t="shared" ref="J187" si="20">ROUND(SUM(D187*F187*I187),2)</f>
        <v>119.6</v>
      </c>
      <c r="K187" s="149" t="s">
        <v>166</v>
      </c>
    </row>
    <row r="188" spans="1:11" ht="15.75">
      <c r="A188" s="147" t="s">
        <v>14</v>
      </c>
      <c r="B188" s="148"/>
      <c r="C188" s="148"/>
      <c r="D188" s="148"/>
      <c r="E188" s="148"/>
      <c r="F188" s="148"/>
      <c r="G188" s="148"/>
      <c r="H188" s="148"/>
      <c r="I188" s="148"/>
      <c r="J188" s="42">
        <f>ROUND(SUM(J187:J187),2)</f>
        <v>119.6</v>
      </c>
      <c r="K188" s="149"/>
    </row>
    <row r="189" spans="1:11" ht="15.75">
      <c r="A189" s="164"/>
      <c r="B189" s="170"/>
      <c r="C189" s="170"/>
      <c r="D189" s="170"/>
      <c r="E189" s="170"/>
      <c r="F189" s="170"/>
      <c r="G189" s="170"/>
      <c r="H189" s="170"/>
      <c r="I189" s="170"/>
      <c r="J189" s="170"/>
      <c r="K189" s="192"/>
    </row>
    <row r="190" spans="1:11" ht="15.75">
      <c r="A190" s="54" t="s">
        <v>3</v>
      </c>
      <c r="B190" s="55" t="s">
        <v>47</v>
      </c>
      <c r="C190" s="143" t="str">
        <f>'PLANILHA ORÇAMENTÁRIA '!C46</f>
        <v>CORTE E DOBRA DE AÇO CA-50, DIÂMETRO DE 6,3 MM. AF_06/2022</v>
      </c>
      <c r="D190" s="143"/>
      <c r="E190" s="143"/>
      <c r="F190" s="143"/>
      <c r="G190" s="143"/>
      <c r="H190" s="143"/>
      <c r="I190" s="143"/>
      <c r="J190" s="143"/>
      <c r="K190" s="144"/>
    </row>
    <row r="191" spans="1:11" ht="15.75">
      <c r="A191" s="145" t="s">
        <v>4</v>
      </c>
      <c r="B191" s="146"/>
      <c r="C191" s="55"/>
      <c r="D191" s="55" t="s">
        <v>33</v>
      </c>
      <c r="E191" s="55"/>
      <c r="F191" s="55"/>
      <c r="G191" s="55"/>
      <c r="H191" s="55"/>
      <c r="I191" s="55" t="s">
        <v>8</v>
      </c>
      <c r="J191" s="55" t="s">
        <v>34</v>
      </c>
      <c r="K191" s="41" t="s">
        <v>9</v>
      </c>
    </row>
    <row r="192" spans="1:11" ht="15.75">
      <c r="A192" s="147" t="s">
        <v>92</v>
      </c>
      <c r="B192" s="148"/>
      <c r="C192" s="53"/>
      <c r="D192" s="57">
        <v>29.32</v>
      </c>
      <c r="E192" s="57"/>
      <c r="F192" s="57"/>
      <c r="G192" s="57"/>
      <c r="H192" s="57"/>
      <c r="I192" s="57">
        <v>1</v>
      </c>
      <c r="J192" s="57">
        <f>ROUND(SUM(D192*I192),2)</f>
        <v>29.32</v>
      </c>
      <c r="K192" s="149"/>
    </row>
    <row r="193" spans="1:11" ht="15.75">
      <c r="A193" s="147" t="s">
        <v>14</v>
      </c>
      <c r="B193" s="148"/>
      <c r="C193" s="148"/>
      <c r="D193" s="148"/>
      <c r="E193" s="148"/>
      <c r="F193" s="148"/>
      <c r="G193" s="148"/>
      <c r="H193" s="148"/>
      <c r="I193" s="148"/>
      <c r="J193" s="42">
        <f>ROUND(SUM(J192:J192),2)</f>
        <v>29.32</v>
      </c>
      <c r="K193" s="149"/>
    </row>
    <row r="194" spans="1:11" ht="15.75">
      <c r="A194" s="157"/>
      <c r="B194" s="158"/>
      <c r="C194" s="158"/>
      <c r="D194" s="158"/>
      <c r="E194" s="158"/>
      <c r="F194" s="158"/>
      <c r="G194" s="158"/>
      <c r="H194" s="158"/>
      <c r="I194" s="158"/>
      <c r="J194" s="158"/>
      <c r="K194" s="159"/>
    </row>
    <row r="195" spans="1:11" ht="15.75">
      <c r="A195" s="54" t="s">
        <v>3</v>
      </c>
      <c r="B195" s="55" t="s">
        <v>48</v>
      </c>
      <c r="C195" s="143" t="str">
        <f>'PLANILHA ORÇAMENTÁRIA '!C47</f>
        <v>CORTE E DOBRA DE AÇO CA-50, DIÂMETRO DE 8,0 MM. AF_06/2022</v>
      </c>
      <c r="D195" s="143"/>
      <c r="E195" s="143"/>
      <c r="F195" s="143"/>
      <c r="G195" s="143"/>
      <c r="H195" s="143"/>
      <c r="I195" s="143"/>
      <c r="J195" s="143"/>
      <c r="K195" s="144"/>
    </row>
    <row r="196" spans="1:11" ht="15.75">
      <c r="A196" s="145" t="s">
        <v>4</v>
      </c>
      <c r="B196" s="146"/>
      <c r="C196" s="55"/>
      <c r="D196" s="55" t="s">
        <v>33</v>
      </c>
      <c r="E196" s="55"/>
      <c r="F196" s="55"/>
      <c r="G196" s="55"/>
      <c r="H196" s="55"/>
      <c r="I196" s="55" t="s">
        <v>8</v>
      </c>
      <c r="J196" s="55" t="s">
        <v>34</v>
      </c>
      <c r="K196" s="41" t="s">
        <v>9</v>
      </c>
    </row>
    <row r="197" spans="1:11" ht="15.75">
      <c r="A197" s="147" t="s">
        <v>92</v>
      </c>
      <c r="B197" s="148"/>
      <c r="C197" s="53"/>
      <c r="D197" s="57">
        <v>197.61</v>
      </c>
      <c r="E197" s="57"/>
      <c r="F197" s="57"/>
      <c r="G197" s="57"/>
      <c r="H197" s="57"/>
      <c r="I197" s="57">
        <v>1</v>
      </c>
      <c r="J197" s="57">
        <f>ROUND(SUM(D197*I197),2)</f>
        <v>197.61</v>
      </c>
      <c r="K197" s="149"/>
    </row>
    <row r="198" spans="1:11" ht="15.75">
      <c r="A198" s="164" t="s">
        <v>93</v>
      </c>
      <c r="B198" s="165"/>
      <c r="C198" s="53"/>
      <c r="D198" s="57">
        <v>633.20000000000005</v>
      </c>
      <c r="E198" s="57"/>
      <c r="F198" s="57"/>
      <c r="G198" s="57"/>
      <c r="H198" s="57"/>
      <c r="I198" s="57">
        <v>1</v>
      </c>
      <c r="J198" s="112">
        <f>ROUND(SUM(D198*I198),2)</f>
        <v>633.20000000000005</v>
      </c>
      <c r="K198" s="149"/>
    </row>
    <row r="199" spans="1:11" ht="15.75">
      <c r="A199" s="147" t="s">
        <v>14</v>
      </c>
      <c r="B199" s="148"/>
      <c r="C199" s="148"/>
      <c r="D199" s="148"/>
      <c r="E199" s="148"/>
      <c r="F199" s="148"/>
      <c r="G199" s="148"/>
      <c r="H199" s="148"/>
      <c r="I199" s="148"/>
      <c r="J199" s="42">
        <f>ROUND(SUM(J197:J198),2)</f>
        <v>830.81</v>
      </c>
      <c r="K199" s="149"/>
    </row>
    <row r="200" spans="1:11" ht="15.75">
      <c r="A200" s="157"/>
      <c r="B200" s="158"/>
      <c r="C200" s="158"/>
      <c r="D200" s="158"/>
      <c r="E200" s="158"/>
      <c r="F200" s="158"/>
      <c r="G200" s="158"/>
      <c r="H200" s="158"/>
      <c r="I200" s="158"/>
      <c r="J200" s="158"/>
      <c r="K200" s="159"/>
    </row>
    <row r="201" spans="1:11" ht="15.75">
      <c r="A201" s="54" t="s">
        <v>3</v>
      </c>
      <c r="B201" s="55" t="s">
        <v>49</v>
      </c>
      <c r="C201" s="143" t="str">
        <f>'PLANILHA ORÇAMENTÁRIA '!C48</f>
        <v>CORTE E DOBRA DE AÇO CA-50, DIÂMETRO DE 10,0 MM. AF_06/2022</v>
      </c>
      <c r="D201" s="143"/>
      <c r="E201" s="143"/>
      <c r="F201" s="143"/>
      <c r="G201" s="143"/>
      <c r="H201" s="143"/>
      <c r="I201" s="143"/>
      <c r="J201" s="143"/>
      <c r="K201" s="144"/>
    </row>
    <row r="202" spans="1:11" ht="15.75">
      <c r="A202" s="145" t="s">
        <v>4</v>
      </c>
      <c r="B202" s="146"/>
      <c r="C202" s="55"/>
      <c r="D202" s="55" t="s">
        <v>33</v>
      </c>
      <c r="E202" s="55"/>
      <c r="F202" s="55"/>
      <c r="G202" s="55"/>
      <c r="H202" s="55"/>
      <c r="I202" s="55" t="s">
        <v>8</v>
      </c>
      <c r="J202" s="55" t="s">
        <v>34</v>
      </c>
      <c r="K202" s="41" t="s">
        <v>9</v>
      </c>
    </row>
    <row r="203" spans="1:11" ht="15.75">
      <c r="A203" s="164" t="str">
        <f>A197</f>
        <v>Pilares</v>
      </c>
      <c r="B203" s="165"/>
      <c r="C203" s="53"/>
      <c r="D203" s="53">
        <v>633.36</v>
      </c>
      <c r="E203" s="53"/>
      <c r="F203" s="53"/>
      <c r="G203" s="53"/>
      <c r="H203" s="53"/>
      <c r="I203" s="57">
        <v>1</v>
      </c>
      <c r="J203" s="57">
        <f t="shared" ref="J203" si="21">ROUND(SUM(D203*I203),2)</f>
        <v>633.36</v>
      </c>
      <c r="K203" s="149"/>
    </row>
    <row r="204" spans="1:11" ht="15.75">
      <c r="A204" s="147" t="s">
        <v>14</v>
      </c>
      <c r="B204" s="148"/>
      <c r="C204" s="148"/>
      <c r="D204" s="148"/>
      <c r="E204" s="148"/>
      <c r="F204" s="148"/>
      <c r="G204" s="148"/>
      <c r="H204" s="148"/>
      <c r="I204" s="148"/>
      <c r="J204" s="42">
        <f>ROUND(SUM(J203:J203),2)</f>
        <v>633.36</v>
      </c>
      <c r="K204" s="149"/>
    </row>
    <row r="205" spans="1:11" ht="15.75">
      <c r="A205" s="157"/>
      <c r="B205" s="158"/>
      <c r="C205" s="158"/>
      <c r="D205" s="158"/>
      <c r="E205" s="158"/>
      <c r="F205" s="158"/>
      <c r="G205" s="158"/>
      <c r="H205" s="158"/>
      <c r="I205" s="158"/>
      <c r="J205" s="158"/>
      <c r="K205" s="159"/>
    </row>
    <row r="206" spans="1:11" ht="15.75">
      <c r="A206" s="54" t="s">
        <v>3</v>
      </c>
      <c r="B206" s="55" t="s">
        <v>123</v>
      </c>
      <c r="C206" s="143" t="str">
        <f>'PLANILHA ORÇAMENTÁRIA '!C49</f>
        <v>CORTE E DOBRA DE AÇO CA-50, DIÂMETRO DE 16,0 MM. AF_06/2022</v>
      </c>
      <c r="D206" s="143"/>
      <c r="E206" s="143"/>
      <c r="F206" s="143"/>
      <c r="G206" s="143"/>
      <c r="H206" s="143"/>
      <c r="I206" s="143"/>
      <c r="J206" s="143"/>
      <c r="K206" s="144"/>
    </row>
    <row r="207" spans="1:11" ht="15.75">
      <c r="A207" s="145" t="s">
        <v>4</v>
      </c>
      <c r="B207" s="146"/>
      <c r="C207" s="55"/>
      <c r="D207" s="55" t="s">
        <v>33</v>
      </c>
      <c r="E207" s="55"/>
      <c r="F207" s="55"/>
      <c r="G207" s="55"/>
      <c r="H207" s="55"/>
      <c r="I207" s="55" t="s">
        <v>8</v>
      </c>
      <c r="J207" s="55" t="s">
        <v>34</v>
      </c>
      <c r="K207" s="41" t="s">
        <v>9</v>
      </c>
    </row>
    <row r="208" spans="1:11" ht="15.75">
      <c r="A208" s="147" t="s">
        <v>92</v>
      </c>
      <c r="B208" s="148"/>
      <c r="C208" s="53"/>
      <c r="D208" s="57">
        <v>281.89999999999998</v>
      </c>
      <c r="E208" s="53"/>
      <c r="F208" s="53"/>
      <c r="G208" s="53"/>
      <c r="H208" s="53"/>
      <c r="I208" s="57">
        <v>1</v>
      </c>
      <c r="J208" s="57">
        <f>ROUND(SUM(D208*I208),2)</f>
        <v>281.89999999999998</v>
      </c>
      <c r="K208" s="149"/>
    </row>
    <row r="209" spans="1:11" ht="15.75">
      <c r="A209" s="164" t="s">
        <v>93</v>
      </c>
      <c r="B209" s="165"/>
      <c r="C209" s="53"/>
      <c r="D209" s="53">
        <v>69.44</v>
      </c>
      <c r="E209" s="53"/>
      <c r="F209" s="53"/>
      <c r="G209" s="53"/>
      <c r="H209" s="53"/>
      <c r="I209" s="57">
        <v>1</v>
      </c>
      <c r="J209" s="112">
        <f>ROUND(SUM(D209*I209),2)</f>
        <v>69.44</v>
      </c>
      <c r="K209" s="149"/>
    </row>
    <row r="210" spans="1:11" ht="15.75">
      <c r="A210" s="147" t="s">
        <v>14</v>
      </c>
      <c r="B210" s="148"/>
      <c r="C210" s="148"/>
      <c r="D210" s="148"/>
      <c r="E210" s="148"/>
      <c r="F210" s="148"/>
      <c r="G210" s="148"/>
      <c r="H210" s="148"/>
      <c r="I210" s="148"/>
      <c r="J210" s="42">
        <f>ROUND(SUM(J208:J209),2)</f>
        <v>351.34</v>
      </c>
      <c r="K210" s="149"/>
    </row>
    <row r="211" spans="1:11" ht="15.75">
      <c r="A211" s="157"/>
      <c r="B211" s="158"/>
      <c r="C211" s="158"/>
      <c r="D211" s="158"/>
      <c r="E211" s="158"/>
      <c r="F211" s="158"/>
      <c r="G211" s="158"/>
      <c r="H211" s="158"/>
      <c r="I211" s="158"/>
      <c r="J211" s="158"/>
      <c r="K211" s="159"/>
    </row>
    <row r="212" spans="1:11" ht="15.75">
      <c r="A212" s="54" t="s">
        <v>3</v>
      </c>
      <c r="B212" s="55" t="s">
        <v>124</v>
      </c>
      <c r="C212" s="143" t="str">
        <f>'PLANILHA ORÇAMENTÁRIA '!C50</f>
        <v>CORTE E DOBRA DE AÇO CA-50, DIÂMETRO DE 20,0 MM. AF_06/2022</v>
      </c>
      <c r="D212" s="143"/>
      <c r="E212" s="143"/>
      <c r="F212" s="143"/>
      <c r="G212" s="143"/>
      <c r="H212" s="143"/>
      <c r="I212" s="143"/>
      <c r="J212" s="143"/>
      <c r="K212" s="144"/>
    </row>
    <row r="213" spans="1:11" ht="15.75">
      <c r="A213" s="145" t="s">
        <v>4</v>
      </c>
      <c r="B213" s="146"/>
      <c r="C213" s="55"/>
      <c r="D213" s="55" t="s">
        <v>33</v>
      </c>
      <c r="E213" s="55"/>
      <c r="F213" s="55"/>
      <c r="G213" s="55"/>
      <c r="H213" s="55"/>
      <c r="I213" s="55" t="s">
        <v>8</v>
      </c>
      <c r="J213" s="55" t="s">
        <v>34</v>
      </c>
      <c r="K213" s="41" t="s">
        <v>9</v>
      </c>
    </row>
    <row r="214" spans="1:11" ht="15.75">
      <c r="A214" s="147" t="s">
        <v>92</v>
      </c>
      <c r="B214" s="148"/>
      <c r="C214" s="53"/>
      <c r="D214" s="53">
        <v>234.37</v>
      </c>
      <c r="E214" s="53"/>
      <c r="F214" s="53"/>
      <c r="G214" s="53"/>
      <c r="H214" s="53"/>
      <c r="I214" s="57">
        <v>1</v>
      </c>
      <c r="J214" s="57">
        <f>ROUND(SUM(D214*I214),2)</f>
        <v>234.37</v>
      </c>
      <c r="K214" s="149"/>
    </row>
    <row r="215" spans="1:11" ht="15.75">
      <c r="A215" s="147" t="s">
        <v>14</v>
      </c>
      <c r="B215" s="148"/>
      <c r="C215" s="148"/>
      <c r="D215" s="148"/>
      <c r="E215" s="148"/>
      <c r="F215" s="148"/>
      <c r="G215" s="148"/>
      <c r="H215" s="148"/>
      <c r="I215" s="148"/>
      <c r="J215" s="42">
        <f>ROUND(SUM(J214:J214),2)</f>
        <v>234.37</v>
      </c>
      <c r="K215" s="149"/>
    </row>
    <row r="216" spans="1:11" ht="15.75">
      <c r="A216" s="157"/>
      <c r="B216" s="158"/>
      <c r="C216" s="158"/>
      <c r="D216" s="158"/>
      <c r="E216" s="158"/>
      <c r="F216" s="158"/>
      <c r="G216" s="158"/>
      <c r="H216" s="158"/>
      <c r="I216" s="158"/>
      <c r="J216" s="158"/>
      <c r="K216" s="159"/>
    </row>
    <row r="217" spans="1:11" ht="15.75">
      <c r="A217" s="54" t="s">
        <v>3</v>
      </c>
      <c r="B217" s="55" t="s">
        <v>227</v>
      </c>
      <c r="C217" s="143" t="str">
        <f>'PLANILHA ORÇAMENTÁRIA '!C51</f>
        <v>CONCRETO FCK = 30MPA, TRAÇO 1:2,1:2,5 (EM MASSA SECA DE CIMENTO/ AREIA MÉDIA/ BRITA 1) - PREPARO MECÂNICO COM BETONEIRA 600 L. AF_05/2021</v>
      </c>
      <c r="D217" s="143"/>
      <c r="E217" s="143"/>
      <c r="F217" s="143"/>
      <c r="G217" s="143"/>
      <c r="H217" s="143"/>
      <c r="I217" s="143"/>
      <c r="J217" s="143"/>
      <c r="K217" s="144"/>
    </row>
    <row r="218" spans="1:11" ht="15.75">
      <c r="A218" s="145" t="s">
        <v>4</v>
      </c>
      <c r="B218" s="146"/>
      <c r="C218" s="55"/>
      <c r="D218" s="55" t="s">
        <v>5</v>
      </c>
      <c r="E218" s="55" t="s">
        <v>6</v>
      </c>
      <c r="F218" s="55" t="s">
        <v>25</v>
      </c>
      <c r="G218" s="55" t="s">
        <v>7</v>
      </c>
      <c r="H218" s="55"/>
      <c r="I218" s="55" t="s">
        <v>8</v>
      </c>
      <c r="J218" s="55" t="s">
        <v>26</v>
      </c>
      <c r="K218" s="41" t="s">
        <v>9</v>
      </c>
    </row>
    <row r="219" spans="1:11" ht="15.75">
      <c r="A219" s="147" t="str">
        <f>A180</f>
        <v>Pilares 40x40</v>
      </c>
      <c r="B219" s="148"/>
      <c r="C219" s="53"/>
      <c r="D219" s="57">
        <v>0.4</v>
      </c>
      <c r="E219" s="57">
        <v>0.4</v>
      </c>
      <c r="F219" s="57">
        <v>3</v>
      </c>
      <c r="G219" s="57"/>
      <c r="H219" s="57"/>
      <c r="I219" s="57">
        <v>4</v>
      </c>
      <c r="J219" s="57">
        <f>ROUND(SUM(I219*F219*E219*D219),2)</f>
        <v>1.92</v>
      </c>
      <c r="K219" s="171"/>
    </row>
    <row r="220" spans="1:11" ht="15.75">
      <c r="A220" s="147" t="str">
        <f>A181</f>
        <v>Pilares 60X30</v>
      </c>
      <c r="B220" s="148"/>
      <c r="C220" s="53"/>
      <c r="D220" s="57">
        <v>0.6</v>
      </c>
      <c r="E220" s="57">
        <v>0.3</v>
      </c>
      <c r="F220" s="57">
        <v>2.1</v>
      </c>
      <c r="G220" s="57"/>
      <c r="H220" s="57"/>
      <c r="I220" s="57">
        <v>4</v>
      </c>
      <c r="J220" s="112">
        <f t="shared" ref="J220:J221" si="22">ROUND(SUM(I220*F220*E220*D220),2)</f>
        <v>1.51</v>
      </c>
      <c r="K220" s="149"/>
    </row>
    <row r="221" spans="1:11" ht="15.75">
      <c r="A221" s="147" t="str">
        <f>A182</f>
        <v>Pilares 120x60</v>
      </c>
      <c r="B221" s="148"/>
      <c r="C221" s="53"/>
      <c r="D221" s="57">
        <v>1.2</v>
      </c>
      <c r="E221" s="57">
        <v>0.6</v>
      </c>
      <c r="F221" s="57">
        <v>2.1</v>
      </c>
      <c r="G221" s="57"/>
      <c r="H221" s="57"/>
      <c r="I221" s="57">
        <v>2</v>
      </c>
      <c r="J221" s="112">
        <f t="shared" si="22"/>
        <v>3.02</v>
      </c>
      <c r="K221" s="149"/>
    </row>
    <row r="222" spans="1:11" ht="15.75">
      <c r="A222" s="147" t="s">
        <v>158</v>
      </c>
      <c r="B222" s="148"/>
      <c r="C222" s="53"/>
      <c r="D222" s="57"/>
      <c r="E222" s="57"/>
      <c r="F222" s="57">
        <f>F187</f>
        <v>3.25</v>
      </c>
      <c r="G222" s="57">
        <v>3.01</v>
      </c>
      <c r="H222" s="57"/>
      <c r="I222" s="57">
        <v>2</v>
      </c>
      <c r="J222" s="57">
        <f>ROUND(SUM(I222*G222*F222),2)</f>
        <v>19.57</v>
      </c>
      <c r="K222" s="149"/>
    </row>
    <row r="223" spans="1:11" ht="15.75">
      <c r="A223" s="147" t="s">
        <v>14</v>
      </c>
      <c r="B223" s="148"/>
      <c r="C223" s="148"/>
      <c r="D223" s="148"/>
      <c r="E223" s="148"/>
      <c r="F223" s="148"/>
      <c r="G223" s="148"/>
      <c r="H223" s="148"/>
      <c r="I223" s="148"/>
      <c r="J223" s="42">
        <f>ROUND(SUM(J219:J222),2)</f>
        <v>26.02</v>
      </c>
      <c r="K223" s="149"/>
    </row>
    <row r="224" spans="1:11" ht="15.75">
      <c r="A224" s="157"/>
      <c r="B224" s="158"/>
      <c r="C224" s="158"/>
      <c r="D224" s="158"/>
      <c r="E224" s="158"/>
      <c r="F224" s="158"/>
      <c r="G224" s="158"/>
      <c r="H224" s="158"/>
      <c r="I224" s="158"/>
      <c r="J224" s="158"/>
      <c r="K224" s="159"/>
    </row>
    <row r="225" spans="1:11" ht="15.75">
      <c r="A225" s="54" t="s">
        <v>3</v>
      </c>
      <c r="B225" s="55" t="s">
        <v>276</v>
      </c>
      <c r="C225" s="143" t="str">
        <f>'PLANILHA ORÇAMENTÁRIA '!C52</f>
        <v>LANÇAMENTO COM USO DE BALDES, ADENSAMENTO E ACABAMENTO DE CONCRETO EM ESTRUTURAS. AF_02/2022</v>
      </c>
      <c r="D225" s="143"/>
      <c r="E225" s="143"/>
      <c r="F225" s="143"/>
      <c r="G225" s="143"/>
      <c r="H225" s="143"/>
      <c r="I225" s="143"/>
      <c r="J225" s="143"/>
      <c r="K225" s="144"/>
    </row>
    <row r="226" spans="1:11" ht="15.75">
      <c r="A226" s="145" t="s">
        <v>4</v>
      </c>
      <c r="B226" s="146"/>
      <c r="C226" s="55"/>
      <c r="D226" s="55" t="s">
        <v>5</v>
      </c>
      <c r="E226" s="55" t="s">
        <v>6</v>
      </c>
      <c r="F226" s="55" t="s">
        <v>25</v>
      </c>
      <c r="G226" s="55" t="s">
        <v>7</v>
      </c>
      <c r="H226" s="55"/>
      <c r="I226" s="55" t="s">
        <v>8</v>
      </c>
      <c r="J226" s="55" t="s">
        <v>26</v>
      </c>
      <c r="K226" s="41" t="s">
        <v>9</v>
      </c>
    </row>
    <row r="227" spans="1:11" ht="15.75">
      <c r="A227" s="147" t="str">
        <f>A219</f>
        <v>Pilares 40x40</v>
      </c>
      <c r="B227" s="148"/>
      <c r="C227" s="53"/>
      <c r="D227" s="57">
        <f>D219</f>
        <v>0.4</v>
      </c>
      <c r="E227" s="57">
        <f>E219</f>
        <v>0.4</v>
      </c>
      <c r="F227" s="57">
        <f>F219</f>
        <v>3</v>
      </c>
      <c r="G227" s="57"/>
      <c r="H227" s="57"/>
      <c r="I227" s="57">
        <f>I219</f>
        <v>4</v>
      </c>
      <c r="J227" s="57">
        <f>ROUND(SUM(D227*E227*F227*I227),2)</f>
        <v>1.92</v>
      </c>
      <c r="K227" s="149"/>
    </row>
    <row r="228" spans="1:11" ht="15.75">
      <c r="A228" s="147" t="str">
        <f>A220</f>
        <v>Pilares 60X30</v>
      </c>
      <c r="B228" s="148"/>
      <c r="C228" s="53"/>
      <c r="D228" s="57">
        <f t="shared" ref="D228:F228" si="23">D220</f>
        <v>0.6</v>
      </c>
      <c r="E228" s="57">
        <f t="shared" si="23"/>
        <v>0.3</v>
      </c>
      <c r="F228" s="57">
        <f t="shared" si="23"/>
        <v>2.1</v>
      </c>
      <c r="G228" s="57"/>
      <c r="H228" s="57"/>
      <c r="I228" s="57">
        <f t="shared" ref="I228:I229" si="24">I220</f>
        <v>4</v>
      </c>
      <c r="J228" s="112">
        <f t="shared" ref="J228:J229" si="25">ROUND(SUM(D228*E228*F228*I228),2)</f>
        <v>1.51</v>
      </c>
      <c r="K228" s="149"/>
    </row>
    <row r="229" spans="1:11" ht="15.75">
      <c r="A229" s="147" t="str">
        <f>A221</f>
        <v>Pilares 120x60</v>
      </c>
      <c r="B229" s="148"/>
      <c r="C229" s="53"/>
      <c r="D229" s="57">
        <f t="shared" ref="D229:F229" si="26">D221</f>
        <v>1.2</v>
      </c>
      <c r="E229" s="57">
        <f t="shared" si="26"/>
        <v>0.6</v>
      </c>
      <c r="F229" s="57">
        <f t="shared" si="26"/>
        <v>2.1</v>
      </c>
      <c r="G229" s="57"/>
      <c r="H229" s="57"/>
      <c r="I229" s="57">
        <f t="shared" si="24"/>
        <v>2</v>
      </c>
      <c r="J229" s="112">
        <f t="shared" si="25"/>
        <v>3.02</v>
      </c>
      <c r="K229" s="149"/>
    </row>
    <row r="230" spans="1:11" ht="15.75">
      <c r="A230" s="147" t="str">
        <f t="shared" ref="A230" si="27">A222</f>
        <v xml:space="preserve">Cortinas </v>
      </c>
      <c r="B230" s="148"/>
      <c r="C230" s="53"/>
      <c r="D230" s="57"/>
      <c r="E230" s="57"/>
      <c r="F230" s="57">
        <f>F222</f>
        <v>3.25</v>
      </c>
      <c r="G230" s="57">
        <v>3.01</v>
      </c>
      <c r="H230" s="57"/>
      <c r="I230" s="57">
        <v>2</v>
      </c>
      <c r="J230" s="57">
        <f>ROUND(SUM(F230*I230*G230),2)</f>
        <v>19.57</v>
      </c>
      <c r="K230" s="149"/>
    </row>
    <row r="231" spans="1:11" ht="15.75">
      <c r="A231" s="147" t="s">
        <v>14</v>
      </c>
      <c r="B231" s="148"/>
      <c r="C231" s="148"/>
      <c r="D231" s="148"/>
      <c r="E231" s="148"/>
      <c r="F231" s="148"/>
      <c r="G231" s="148"/>
      <c r="H231" s="148"/>
      <c r="I231" s="148"/>
      <c r="J231" s="42">
        <f>ROUND(SUM(J227:J230),2)</f>
        <v>26.02</v>
      </c>
      <c r="K231" s="149"/>
    </row>
    <row r="232" spans="1:11" ht="15.75">
      <c r="A232" s="157"/>
      <c r="B232" s="158"/>
      <c r="C232" s="158"/>
      <c r="D232" s="158"/>
      <c r="E232" s="158"/>
      <c r="F232" s="158"/>
      <c r="G232" s="158"/>
      <c r="H232" s="158"/>
      <c r="I232" s="158"/>
      <c r="J232" s="158"/>
      <c r="K232" s="159"/>
    </row>
    <row r="233" spans="1:11" ht="15.75">
      <c r="A233" s="160" t="s">
        <v>50</v>
      </c>
      <c r="B233" s="161"/>
      <c r="C233" s="162" t="s">
        <v>63</v>
      </c>
      <c r="D233" s="162"/>
      <c r="E233" s="162"/>
      <c r="F233" s="162"/>
      <c r="G233" s="162"/>
      <c r="H233" s="162"/>
      <c r="I233" s="162"/>
      <c r="J233" s="162"/>
      <c r="K233" s="163"/>
    </row>
    <row r="234" spans="1:11" ht="15.75">
      <c r="A234" s="54" t="s">
        <v>3</v>
      </c>
      <c r="B234" s="55" t="s">
        <v>52</v>
      </c>
      <c r="C234" s="143" t="str">
        <f>'PLANILHA ORÇAMENTÁRIA '!C54</f>
        <v>Aparelho de apoio de neoprene fretado para estruturas moldadas no local - fornecimento e instalação</v>
      </c>
      <c r="D234" s="143"/>
      <c r="E234" s="143"/>
      <c r="F234" s="143"/>
      <c r="G234" s="143"/>
      <c r="H234" s="143"/>
      <c r="I234" s="143"/>
      <c r="J234" s="143"/>
      <c r="K234" s="144"/>
    </row>
    <row r="235" spans="1:11" ht="33" customHeight="1">
      <c r="A235" s="145" t="s">
        <v>4</v>
      </c>
      <c r="B235" s="146"/>
      <c r="C235" s="55"/>
      <c r="D235" s="55" t="s">
        <v>106</v>
      </c>
      <c r="E235" s="55" t="s">
        <v>107</v>
      </c>
      <c r="F235" s="55" t="s">
        <v>108</v>
      </c>
      <c r="G235" s="55"/>
      <c r="H235" s="55"/>
      <c r="I235" s="55" t="s">
        <v>8</v>
      </c>
      <c r="J235" s="55" t="s">
        <v>110</v>
      </c>
      <c r="K235" s="41" t="s">
        <v>9</v>
      </c>
    </row>
    <row r="236" spans="1:11" ht="15.75">
      <c r="A236" s="147" t="s">
        <v>109</v>
      </c>
      <c r="B236" s="148"/>
      <c r="C236" s="53"/>
      <c r="D236" s="57">
        <v>2.5</v>
      </c>
      <c r="E236" s="57">
        <v>3.2</v>
      </c>
      <c r="F236" s="57">
        <v>0.3</v>
      </c>
      <c r="G236" s="53"/>
      <c r="H236" s="53"/>
      <c r="I236" s="57">
        <v>6</v>
      </c>
      <c r="J236" s="57">
        <f>ROUND(SUM(D236*F236*I236*E236),2)</f>
        <v>14.4</v>
      </c>
      <c r="K236" s="149"/>
    </row>
    <row r="237" spans="1:11" ht="15.75">
      <c r="A237" s="147" t="s">
        <v>14</v>
      </c>
      <c r="B237" s="148"/>
      <c r="C237" s="148"/>
      <c r="D237" s="148"/>
      <c r="E237" s="148"/>
      <c r="F237" s="148"/>
      <c r="G237" s="148"/>
      <c r="H237" s="148"/>
      <c r="I237" s="148"/>
      <c r="J237" s="42">
        <f>ROUND(SUM(J236:J236),2)</f>
        <v>14.4</v>
      </c>
      <c r="K237" s="149"/>
    </row>
    <row r="238" spans="1:11" ht="15.75">
      <c r="A238" s="157"/>
      <c r="B238" s="158"/>
      <c r="C238" s="158"/>
      <c r="D238" s="158"/>
      <c r="E238" s="158"/>
      <c r="F238" s="158"/>
      <c r="G238" s="158"/>
      <c r="H238" s="158"/>
      <c r="I238" s="158"/>
      <c r="J238" s="158"/>
      <c r="K238" s="159"/>
    </row>
    <row r="239" spans="1:11" ht="15.75">
      <c r="A239" s="54" t="s">
        <v>3</v>
      </c>
      <c r="B239" s="55" t="s">
        <v>125</v>
      </c>
      <c r="C239" s="143" t="str">
        <f>'PLANILHA ORÇAMENTÁRIA '!C55</f>
        <v>FABRICAÇÃO DE FÔRMA PARA VIGAS, EM CHAPA DE MADEIRA COMPENSADA RESINADA, E = 17 MM. AF_09/2020</v>
      </c>
      <c r="D239" s="143"/>
      <c r="E239" s="143"/>
      <c r="F239" s="143"/>
      <c r="G239" s="143"/>
      <c r="H239" s="143"/>
      <c r="I239" s="143"/>
      <c r="J239" s="143"/>
      <c r="K239" s="144"/>
    </row>
    <row r="240" spans="1:11" ht="15.75">
      <c r="A240" s="145" t="s">
        <v>4</v>
      </c>
      <c r="B240" s="146"/>
      <c r="C240" s="55"/>
      <c r="D240" s="55" t="s">
        <v>5</v>
      </c>
      <c r="E240" s="55" t="s">
        <v>6</v>
      </c>
      <c r="F240" s="55" t="s">
        <v>7</v>
      </c>
      <c r="G240" s="55"/>
      <c r="H240" s="55"/>
      <c r="I240" s="55" t="s">
        <v>8</v>
      </c>
      <c r="J240" s="55" t="s">
        <v>21</v>
      </c>
      <c r="K240" s="41" t="s">
        <v>9</v>
      </c>
    </row>
    <row r="241" spans="1:11" ht="15.75">
      <c r="A241" s="155" t="s">
        <v>261</v>
      </c>
      <c r="B241" s="156"/>
      <c r="C241" s="53"/>
      <c r="D241" s="57">
        <v>10</v>
      </c>
      <c r="E241" s="57">
        <v>1.1000000000000001</v>
      </c>
      <c r="F241" s="57"/>
      <c r="G241" s="57"/>
      <c r="H241" s="57"/>
      <c r="I241" s="57">
        <v>8</v>
      </c>
      <c r="J241" s="57">
        <f>ROUND(SUM(D241*E241*I241),2)</f>
        <v>88</v>
      </c>
      <c r="K241" s="24"/>
    </row>
    <row r="242" spans="1:11" ht="15.75">
      <c r="A242" s="155" t="s">
        <v>102</v>
      </c>
      <c r="B242" s="156"/>
      <c r="C242" s="53"/>
      <c r="D242" s="57">
        <v>10</v>
      </c>
      <c r="E242" s="57">
        <v>0.3</v>
      </c>
      <c r="F242" s="57"/>
      <c r="G242" s="57"/>
      <c r="H242" s="57"/>
      <c r="I242" s="57">
        <v>4</v>
      </c>
      <c r="J242" s="112">
        <f t="shared" ref="J242:J245" si="28">ROUND(SUM(D242*E242*I242),2)</f>
        <v>12</v>
      </c>
      <c r="K242" s="24"/>
    </row>
    <row r="243" spans="1:11" ht="15.75">
      <c r="A243" s="155" t="s">
        <v>262</v>
      </c>
      <c r="B243" s="156"/>
      <c r="C243" s="53"/>
      <c r="D243" s="57">
        <v>10</v>
      </c>
      <c r="E243" s="57">
        <v>0.3</v>
      </c>
      <c r="F243" s="57"/>
      <c r="G243" s="57"/>
      <c r="H243" s="57"/>
      <c r="I243" s="57">
        <v>2</v>
      </c>
      <c r="J243" s="112">
        <f t="shared" si="28"/>
        <v>6</v>
      </c>
      <c r="K243" s="24"/>
    </row>
    <row r="244" spans="1:11" ht="15.75">
      <c r="A244" s="155" t="s">
        <v>99</v>
      </c>
      <c r="B244" s="156"/>
      <c r="C244" s="53"/>
      <c r="D244" s="57">
        <v>4.2</v>
      </c>
      <c r="E244" s="57">
        <v>0.3</v>
      </c>
      <c r="F244" s="57"/>
      <c r="G244" s="57"/>
      <c r="H244" s="57"/>
      <c r="I244" s="57">
        <v>2</v>
      </c>
      <c r="J244" s="112">
        <f t="shared" si="28"/>
        <v>2.52</v>
      </c>
      <c r="K244" s="24"/>
    </row>
    <row r="245" spans="1:11" ht="15.75">
      <c r="A245" s="155" t="s">
        <v>100</v>
      </c>
      <c r="B245" s="156"/>
      <c r="C245" s="53"/>
      <c r="D245" s="57">
        <v>10</v>
      </c>
      <c r="E245" s="57">
        <v>0.6</v>
      </c>
      <c r="F245" s="57"/>
      <c r="G245" s="57"/>
      <c r="H245" s="57"/>
      <c r="I245" s="57">
        <v>8</v>
      </c>
      <c r="J245" s="112">
        <f t="shared" si="28"/>
        <v>48</v>
      </c>
      <c r="K245" s="24"/>
    </row>
    <row r="246" spans="1:11" ht="15.75">
      <c r="A246" s="155" t="s">
        <v>101</v>
      </c>
      <c r="B246" s="156"/>
      <c r="C246" s="53"/>
      <c r="D246" s="57"/>
      <c r="E246" s="57"/>
      <c r="F246" s="57">
        <v>0.08</v>
      </c>
      <c r="G246" s="57"/>
      <c r="H246" s="57"/>
      <c r="I246" s="57">
        <v>4</v>
      </c>
      <c r="J246" s="57">
        <f>ROUND(SUM(F246*I246),2)</f>
        <v>0.32</v>
      </c>
      <c r="K246" s="24"/>
    </row>
    <row r="247" spans="1:11" ht="15.75">
      <c r="A247" s="164" t="s">
        <v>14</v>
      </c>
      <c r="B247" s="170"/>
      <c r="C247" s="170"/>
      <c r="D247" s="170"/>
      <c r="E247" s="170"/>
      <c r="F247" s="170"/>
      <c r="G247" s="170"/>
      <c r="H247" s="170"/>
      <c r="I247" s="165"/>
      <c r="J247" s="42">
        <f>ROUND(SUM(J241:J246),2)</f>
        <v>156.84</v>
      </c>
      <c r="K247" s="24"/>
    </row>
    <row r="248" spans="1:11" ht="15.75">
      <c r="A248" s="157"/>
      <c r="B248" s="158"/>
      <c r="C248" s="158"/>
      <c r="D248" s="158"/>
      <c r="E248" s="158"/>
      <c r="F248" s="158"/>
      <c r="G248" s="158"/>
      <c r="H248" s="158"/>
      <c r="I248" s="158"/>
      <c r="J248" s="158"/>
      <c r="K248" s="159"/>
    </row>
    <row r="249" spans="1:11" ht="15.75">
      <c r="A249" s="54" t="s">
        <v>3</v>
      </c>
      <c r="B249" s="55" t="s">
        <v>126</v>
      </c>
      <c r="C249" s="143" t="str">
        <f>'PLANILHA ORÇAMENTÁRIA '!C56</f>
        <v>CORTE E DOBRA DE AÇO CA-50, DIÂMETRO DE 8,0 MM. AF_06/2022</v>
      </c>
      <c r="D249" s="143"/>
      <c r="E249" s="143"/>
      <c r="F249" s="143"/>
      <c r="G249" s="143"/>
      <c r="H249" s="143"/>
      <c r="I249" s="143"/>
      <c r="J249" s="143"/>
      <c r="K249" s="144"/>
    </row>
    <row r="250" spans="1:11" ht="15.75">
      <c r="A250" s="145" t="s">
        <v>4</v>
      </c>
      <c r="B250" s="146"/>
      <c r="C250" s="55"/>
      <c r="D250" s="55" t="s">
        <v>33</v>
      </c>
      <c r="E250" s="55"/>
      <c r="F250" s="55"/>
      <c r="G250" s="55"/>
      <c r="H250" s="55"/>
      <c r="I250" s="55" t="s">
        <v>8</v>
      </c>
      <c r="J250" s="55" t="s">
        <v>34</v>
      </c>
      <c r="K250" s="41" t="s">
        <v>9</v>
      </c>
    </row>
    <row r="251" spans="1:11" ht="15.75">
      <c r="A251" s="147" t="s">
        <v>96</v>
      </c>
      <c r="B251" s="148"/>
      <c r="C251" s="53"/>
      <c r="D251" s="53">
        <v>70.91</v>
      </c>
      <c r="E251" s="53"/>
      <c r="F251" s="53"/>
      <c r="G251" s="53"/>
      <c r="H251" s="53"/>
      <c r="I251" s="57">
        <v>1</v>
      </c>
      <c r="J251" s="57">
        <f>ROUND(SUM(D251*I251),2)</f>
        <v>70.91</v>
      </c>
      <c r="K251" s="149"/>
    </row>
    <row r="252" spans="1:11" ht="15.75">
      <c r="A252" s="147" t="s">
        <v>97</v>
      </c>
      <c r="B252" s="148"/>
      <c r="C252" s="53"/>
      <c r="D252" s="53">
        <v>1090.42</v>
      </c>
      <c r="E252" s="53"/>
      <c r="F252" s="53"/>
      <c r="G252" s="53"/>
      <c r="H252" s="53"/>
      <c r="I252" s="57">
        <v>1</v>
      </c>
      <c r="J252" s="112">
        <f t="shared" ref="J252:J253" si="29">ROUND(SUM(D252*I252),2)</f>
        <v>1090.42</v>
      </c>
      <c r="K252" s="149"/>
    </row>
    <row r="253" spans="1:11" ht="15.75">
      <c r="A253" s="147" t="s">
        <v>98</v>
      </c>
      <c r="B253" s="148"/>
      <c r="C253" s="53"/>
      <c r="D253" s="53">
        <v>247.31</v>
      </c>
      <c r="E253" s="53"/>
      <c r="F253" s="53"/>
      <c r="G253" s="53"/>
      <c r="H253" s="53"/>
      <c r="I253" s="57">
        <v>1</v>
      </c>
      <c r="J253" s="112">
        <f t="shared" si="29"/>
        <v>247.31</v>
      </c>
      <c r="K253" s="149"/>
    </row>
    <row r="254" spans="1:11" ht="15.75">
      <c r="A254" s="147" t="s">
        <v>14</v>
      </c>
      <c r="B254" s="148"/>
      <c r="C254" s="148"/>
      <c r="D254" s="148"/>
      <c r="E254" s="148"/>
      <c r="F254" s="148"/>
      <c r="G254" s="148"/>
      <c r="H254" s="148"/>
      <c r="I254" s="148"/>
      <c r="J254" s="42">
        <f>ROUND(SUM(J251:J253),2)</f>
        <v>1408.64</v>
      </c>
      <c r="K254" s="149"/>
    </row>
    <row r="255" spans="1:11" ht="15.75">
      <c r="A255" s="157"/>
      <c r="B255" s="158"/>
      <c r="C255" s="158"/>
      <c r="D255" s="158"/>
      <c r="E255" s="158"/>
      <c r="F255" s="158"/>
      <c r="G255" s="158"/>
      <c r="H255" s="158"/>
      <c r="I255" s="158"/>
      <c r="J255" s="158"/>
      <c r="K255" s="159"/>
    </row>
    <row r="256" spans="1:11" ht="15.75">
      <c r="A256" s="54" t="s">
        <v>3</v>
      </c>
      <c r="B256" s="55" t="s">
        <v>127</v>
      </c>
      <c r="C256" s="143" t="str">
        <f>'PLANILHA ORÇAMENTÁRIA '!C57</f>
        <v>CORTE E DOBRA DE AÇO CA-50, DIÂMETRO DE 10,0 MM. AF_06/2022</v>
      </c>
      <c r="D256" s="143"/>
      <c r="E256" s="143"/>
      <c r="F256" s="143"/>
      <c r="G256" s="143"/>
      <c r="H256" s="143"/>
      <c r="I256" s="143"/>
      <c r="J256" s="143"/>
      <c r="K256" s="144"/>
    </row>
    <row r="257" spans="1:11" ht="15.75">
      <c r="A257" s="145" t="s">
        <v>4</v>
      </c>
      <c r="B257" s="146"/>
      <c r="C257" s="55"/>
      <c r="D257" s="55" t="s">
        <v>33</v>
      </c>
      <c r="E257" s="55"/>
      <c r="F257" s="55"/>
      <c r="G257" s="55"/>
      <c r="H257" s="55"/>
      <c r="I257" s="55" t="s">
        <v>8</v>
      </c>
      <c r="J257" s="55" t="s">
        <v>34</v>
      </c>
      <c r="K257" s="41" t="s">
        <v>9</v>
      </c>
    </row>
    <row r="258" spans="1:11" ht="15.75">
      <c r="A258" s="147" t="s">
        <v>96</v>
      </c>
      <c r="B258" s="148"/>
      <c r="C258" s="53"/>
      <c r="D258" s="57">
        <v>771.14</v>
      </c>
      <c r="E258" s="53"/>
      <c r="F258" s="53"/>
      <c r="G258" s="53"/>
      <c r="H258" s="53"/>
      <c r="I258" s="57">
        <v>1</v>
      </c>
      <c r="J258" s="57">
        <f>ROUND(SUM(D258*I258),2)</f>
        <v>771.14</v>
      </c>
      <c r="K258" s="149"/>
    </row>
    <row r="259" spans="1:11" ht="15.75">
      <c r="A259" s="147" t="s">
        <v>97</v>
      </c>
      <c r="B259" s="148"/>
      <c r="C259" s="53"/>
      <c r="D259" s="53">
        <v>931.72</v>
      </c>
      <c r="E259" s="53"/>
      <c r="F259" s="53"/>
      <c r="G259" s="53"/>
      <c r="H259" s="53"/>
      <c r="I259" s="57">
        <v>1</v>
      </c>
      <c r="J259" s="112">
        <f t="shared" ref="J259:J260" si="30">ROUND(SUM(D259*I259),2)</f>
        <v>931.72</v>
      </c>
      <c r="K259" s="149"/>
    </row>
    <row r="260" spans="1:11" ht="15.75">
      <c r="A260" s="147" t="s">
        <v>98</v>
      </c>
      <c r="B260" s="148"/>
      <c r="C260" s="53"/>
      <c r="D260" s="53">
        <v>110.77</v>
      </c>
      <c r="E260" s="53"/>
      <c r="F260" s="53"/>
      <c r="G260" s="53"/>
      <c r="H260" s="53"/>
      <c r="I260" s="57">
        <v>1</v>
      </c>
      <c r="J260" s="112">
        <f t="shared" si="30"/>
        <v>110.77</v>
      </c>
      <c r="K260" s="149"/>
    </row>
    <row r="261" spans="1:11" ht="15.75">
      <c r="A261" s="147" t="s">
        <v>14</v>
      </c>
      <c r="B261" s="148"/>
      <c r="C261" s="148"/>
      <c r="D261" s="148"/>
      <c r="E261" s="148"/>
      <c r="F261" s="148"/>
      <c r="G261" s="148"/>
      <c r="H261" s="148"/>
      <c r="I261" s="148"/>
      <c r="J261" s="42">
        <f>ROUND(SUM(J258:J260),2)</f>
        <v>1813.63</v>
      </c>
      <c r="K261" s="149"/>
    </row>
    <row r="262" spans="1:11" ht="15.75">
      <c r="A262" s="157"/>
      <c r="B262" s="158"/>
      <c r="C262" s="158"/>
      <c r="D262" s="158"/>
      <c r="E262" s="158"/>
      <c r="F262" s="158"/>
      <c r="G262" s="158"/>
      <c r="H262" s="158"/>
      <c r="I262" s="158"/>
      <c r="J262" s="158"/>
      <c r="K262" s="159"/>
    </row>
    <row r="263" spans="1:11" ht="15.75">
      <c r="A263" s="54" t="s">
        <v>3</v>
      </c>
      <c r="B263" s="55" t="s">
        <v>128</v>
      </c>
      <c r="C263" s="143" t="str">
        <f>'PLANILHA ORÇAMENTÁRIA '!C58</f>
        <v>CORTE E DOBRA DE AÇO CA-50, DIÂMETRO DE 25,0 MM. AF_06/2022</v>
      </c>
      <c r="D263" s="143"/>
      <c r="E263" s="143"/>
      <c r="F263" s="143"/>
      <c r="G263" s="143"/>
      <c r="H263" s="143"/>
      <c r="I263" s="143"/>
      <c r="J263" s="143"/>
      <c r="K263" s="144"/>
    </row>
    <row r="264" spans="1:11" ht="15.75">
      <c r="A264" s="145" t="s">
        <v>4</v>
      </c>
      <c r="B264" s="146"/>
      <c r="C264" s="55"/>
      <c r="D264" s="55" t="s">
        <v>33</v>
      </c>
      <c r="E264" s="55"/>
      <c r="F264" s="55"/>
      <c r="G264" s="55"/>
      <c r="H264" s="55"/>
      <c r="I264" s="55" t="s">
        <v>8</v>
      </c>
      <c r="J264" s="55" t="s">
        <v>34</v>
      </c>
      <c r="K264" s="41" t="s">
        <v>9</v>
      </c>
    </row>
    <row r="265" spans="1:11" ht="15.75">
      <c r="A265" s="147" t="s">
        <v>96</v>
      </c>
      <c r="B265" s="148"/>
      <c r="C265" s="53"/>
      <c r="D265" s="53">
        <v>2093.7199999999998</v>
      </c>
      <c r="E265" s="53"/>
      <c r="F265" s="53"/>
      <c r="G265" s="53"/>
      <c r="H265" s="53"/>
      <c r="I265" s="57">
        <v>1</v>
      </c>
      <c r="J265" s="57">
        <f>ROUND(SUM(D265*I265),2)</f>
        <v>2093.7199999999998</v>
      </c>
      <c r="K265" s="149"/>
    </row>
    <row r="266" spans="1:11" ht="15.75">
      <c r="A266" s="147" t="s">
        <v>14</v>
      </c>
      <c r="B266" s="148"/>
      <c r="C266" s="148"/>
      <c r="D266" s="148"/>
      <c r="E266" s="148"/>
      <c r="F266" s="148"/>
      <c r="G266" s="148"/>
      <c r="H266" s="148"/>
      <c r="I266" s="148"/>
      <c r="J266" s="42">
        <f>ROUND(SUM(J265:J265),2)</f>
        <v>2093.7199999999998</v>
      </c>
      <c r="K266" s="149"/>
    </row>
    <row r="267" spans="1:11" ht="15.75">
      <c r="A267" s="157"/>
      <c r="B267" s="158"/>
      <c r="C267" s="158"/>
      <c r="D267" s="158"/>
      <c r="E267" s="158"/>
      <c r="F267" s="158"/>
      <c r="G267" s="158"/>
      <c r="H267" s="158"/>
      <c r="I267" s="158"/>
      <c r="J267" s="158"/>
      <c r="K267" s="159"/>
    </row>
    <row r="268" spans="1:11" ht="15.75">
      <c r="A268" s="54" t="s">
        <v>3</v>
      </c>
      <c r="B268" s="55" t="s">
        <v>129</v>
      </c>
      <c r="C268" s="143" t="str">
        <f>'PLANILHA ORÇAMENTÁRIA '!C59</f>
        <v>ESCORAMENTO DE FÔRMAS DE LAJE EM MADEIRA NÃO APARELHADA, PÉ-DIREITO SIMPLES, INCLUSO TRAVAMENTO, 4 UTILIZAÇÕES. AF_09/2020</v>
      </c>
      <c r="D268" s="143"/>
      <c r="E268" s="143"/>
      <c r="F268" s="143"/>
      <c r="G268" s="143"/>
      <c r="H268" s="143"/>
      <c r="I268" s="143"/>
      <c r="J268" s="143"/>
      <c r="K268" s="144"/>
    </row>
    <row r="269" spans="1:11" ht="15.75">
      <c r="A269" s="145" t="s">
        <v>4</v>
      </c>
      <c r="B269" s="146"/>
      <c r="C269" s="55"/>
      <c r="D269" s="55" t="s">
        <v>5</v>
      </c>
      <c r="E269" s="55" t="s">
        <v>6</v>
      </c>
      <c r="F269" s="55" t="s">
        <v>25</v>
      </c>
      <c r="G269" s="55"/>
      <c r="H269" s="55"/>
      <c r="I269" s="55" t="s">
        <v>8</v>
      </c>
      <c r="J269" s="55" t="s">
        <v>26</v>
      </c>
      <c r="K269" s="41" t="s">
        <v>9</v>
      </c>
    </row>
    <row r="270" spans="1:11" ht="15.75">
      <c r="A270" s="147" t="s">
        <v>103</v>
      </c>
      <c r="B270" s="148"/>
      <c r="C270" s="53"/>
      <c r="D270" s="57">
        <v>10</v>
      </c>
      <c r="E270" s="57">
        <v>0.3</v>
      </c>
      <c r="F270" s="57">
        <v>2.1</v>
      </c>
      <c r="G270" s="53"/>
      <c r="H270" s="53"/>
      <c r="I270" s="57">
        <v>4</v>
      </c>
      <c r="J270" s="57">
        <f>ROUND(SUM(D270*F270*E270*I270),2)</f>
        <v>25.2</v>
      </c>
      <c r="K270" s="149"/>
    </row>
    <row r="271" spans="1:11" ht="15.75">
      <c r="A271" s="147" t="s">
        <v>97</v>
      </c>
      <c r="B271" s="148"/>
      <c r="C271" s="53"/>
      <c r="D271" s="57">
        <v>10</v>
      </c>
      <c r="E271" s="57">
        <v>4.2</v>
      </c>
      <c r="F271" s="57">
        <f>2.1+1.1</f>
        <v>3.2</v>
      </c>
      <c r="G271" s="53"/>
      <c r="H271" s="53"/>
      <c r="I271" s="57">
        <v>2</v>
      </c>
      <c r="J271" s="112">
        <f>ROUND(SUM(D271*F271*E271*I271),2)</f>
        <v>268.8</v>
      </c>
      <c r="K271" s="149"/>
    </row>
    <row r="272" spans="1:11" ht="15.75">
      <c r="A272" s="147" t="s">
        <v>14</v>
      </c>
      <c r="B272" s="148"/>
      <c r="C272" s="148"/>
      <c r="D272" s="148"/>
      <c r="E272" s="148"/>
      <c r="F272" s="148"/>
      <c r="G272" s="148"/>
      <c r="H272" s="148"/>
      <c r="I272" s="148"/>
      <c r="J272" s="42">
        <f>ROUND(SUM(J270:J271),2)</f>
        <v>294</v>
      </c>
      <c r="K272" s="149"/>
    </row>
    <row r="273" spans="1:11" ht="15.75">
      <c r="A273" s="157"/>
      <c r="B273" s="158"/>
      <c r="C273" s="158"/>
      <c r="D273" s="158"/>
      <c r="E273" s="158"/>
      <c r="F273" s="158"/>
      <c r="G273" s="158"/>
      <c r="H273" s="158"/>
      <c r="I273" s="158"/>
      <c r="J273" s="158"/>
      <c r="K273" s="159"/>
    </row>
    <row r="274" spans="1:11" ht="15.75">
      <c r="A274" s="54" t="s">
        <v>3</v>
      </c>
      <c r="B274" s="55" t="s">
        <v>235</v>
      </c>
      <c r="C274" s="143" t="str">
        <f>'PLANILHA ORÇAMENTÁRIA '!C60</f>
        <v>FORNECIMENTO DE CONCRETO ESTRUTURAL, USINADO, COM FCK 30MPA, INCLUSIVE LANÇAMENTO, ADENSAMENTO E ACABAMENTO</v>
      </c>
      <c r="D274" s="143"/>
      <c r="E274" s="143"/>
      <c r="F274" s="143"/>
      <c r="G274" s="143"/>
      <c r="H274" s="143"/>
      <c r="I274" s="143"/>
      <c r="J274" s="143"/>
      <c r="K274" s="144"/>
    </row>
    <row r="275" spans="1:11" ht="15.75">
      <c r="A275" s="145" t="s">
        <v>4</v>
      </c>
      <c r="B275" s="146"/>
      <c r="C275" s="55"/>
      <c r="D275" s="55" t="s">
        <v>5</v>
      </c>
      <c r="E275" s="55" t="s">
        <v>6</v>
      </c>
      <c r="F275" s="55" t="s">
        <v>25</v>
      </c>
      <c r="G275" s="55" t="s">
        <v>7</v>
      </c>
      <c r="H275" s="55"/>
      <c r="I275" s="55" t="s">
        <v>8</v>
      </c>
      <c r="J275" s="55" t="s">
        <v>26</v>
      </c>
      <c r="K275" s="41" t="s">
        <v>9</v>
      </c>
    </row>
    <row r="276" spans="1:11" ht="15.75">
      <c r="A276" s="147" t="s">
        <v>96</v>
      </c>
      <c r="B276" s="148"/>
      <c r="C276" s="53"/>
      <c r="D276" s="57">
        <v>10</v>
      </c>
      <c r="E276" s="57">
        <v>0.3</v>
      </c>
      <c r="F276" s="57">
        <v>1.1000000000000001</v>
      </c>
      <c r="G276" s="57"/>
      <c r="H276" s="57"/>
      <c r="I276" s="57">
        <v>4</v>
      </c>
      <c r="J276" s="57">
        <f>ROUND(SUM(D276*I276*E276*F276),2)</f>
        <v>13.2</v>
      </c>
      <c r="K276" s="149"/>
    </row>
    <row r="277" spans="1:11" ht="15.75">
      <c r="A277" s="147" t="s">
        <v>97</v>
      </c>
      <c r="B277" s="148"/>
      <c r="C277" s="53"/>
      <c r="D277" s="57">
        <v>10</v>
      </c>
      <c r="E277" s="57">
        <v>4.2</v>
      </c>
      <c r="F277" s="57">
        <v>0.15</v>
      </c>
      <c r="G277" s="57"/>
      <c r="H277" s="57"/>
      <c r="I277" s="57">
        <v>2</v>
      </c>
      <c r="J277" s="112">
        <f>ROUND(SUM(D277*I277*E277*F277),2)</f>
        <v>12.6</v>
      </c>
      <c r="K277" s="149"/>
    </row>
    <row r="278" spans="1:11" ht="15.75">
      <c r="A278" s="147" t="s">
        <v>98</v>
      </c>
      <c r="B278" s="148"/>
      <c r="C278" s="53"/>
      <c r="D278" s="57">
        <v>10</v>
      </c>
      <c r="E278" s="57"/>
      <c r="F278" s="57"/>
      <c r="G278" s="57">
        <v>0.08</v>
      </c>
      <c r="H278" s="57"/>
      <c r="I278" s="57">
        <v>4</v>
      </c>
      <c r="J278" s="57">
        <f>ROUND(SUM(D278*G278*I278),2)</f>
        <v>3.2</v>
      </c>
      <c r="K278" s="149"/>
    </row>
    <row r="279" spans="1:11" ht="15.75">
      <c r="A279" s="147" t="s">
        <v>14</v>
      </c>
      <c r="B279" s="148"/>
      <c r="C279" s="148"/>
      <c r="D279" s="148"/>
      <c r="E279" s="148"/>
      <c r="F279" s="148"/>
      <c r="G279" s="148"/>
      <c r="H279" s="148"/>
      <c r="I279" s="148"/>
      <c r="J279" s="42">
        <f>ROUND(SUM(J276:J278),2)</f>
        <v>29</v>
      </c>
      <c r="K279" s="149"/>
    </row>
    <row r="280" spans="1:11" ht="15.75">
      <c r="A280" s="157"/>
      <c r="B280" s="158"/>
      <c r="C280" s="158"/>
      <c r="D280" s="158"/>
      <c r="E280" s="158"/>
      <c r="F280" s="158"/>
      <c r="G280" s="158"/>
      <c r="H280" s="158"/>
      <c r="I280" s="158"/>
      <c r="J280" s="158"/>
      <c r="K280" s="159"/>
    </row>
    <row r="281" spans="1:11" ht="15.75">
      <c r="A281" s="54" t="s">
        <v>3</v>
      </c>
      <c r="B281" s="55" t="s">
        <v>130</v>
      </c>
      <c r="C281" s="143" t="str">
        <f>'PLANILHA ORÇAMENTÁRIA '!C61</f>
        <v>TUBO PVC, SÉRIE R, ÁGUA PLUVIAL, DN 75 MM, FORNECIDO E INSTALADO EM CONDUTORES VERTICAIS DE ÁGUAS PLUVIAIS. AF_06/2022</v>
      </c>
      <c r="D281" s="143"/>
      <c r="E281" s="143"/>
      <c r="F281" s="143"/>
      <c r="G281" s="143"/>
      <c r="H281" s="143"/>
      <c r="I281" s="143"/>
      <c r="J281" s="143"/>
      <c r="K281" s="144"/>
    </row>
    <row r="282" spans="1:11" ht="15.75">
      <c r="A282" s="145" t="s">
        <v>4</v>
      </c>
      <c r="B282" s="146"/>
      <c r="C282" s="55"/>
      <c r="D282" s="55" t="s">
        <v>5</v>
      </c>
      <c r="E282" s="55"/>
      <c r="F282" s="55"/>
      <c r="G282" s="55"/>
      <c r="H282" s="55"/>
      <c r="I282" s="55" t="s">
        <v>8</v>
      </c>
      <c r="J282" s="55" t="s">
        <v>54</v>
      </c>
      <c r="K282" s="41" t="s">
        <v>9</v>
      </c>
    </row>
    <row r="283" spans="1:11" ht="15.75">
      <c r="A283" s="147" t="s">
        <v>111</v>
      </c>
      <c r="B283" s="148"/>
      <c r="C283" s="53"/>
      <c r="D283" s="57">
        <v>0.35</v>
      </c>
      <c r="E283" s="57"/>
      <c r="F283" s="57"/>
      <c r="G283" s="57"/>
      <c r="H283" s="57"/>
      <c r="I283" s="57">
        <v>20</v>
      </c>
      <c r="J283" s="57">
        <f>ROUND(SUM(D283*I283),2)</f>
        <v>7</v>
      </c>
      <c r="K283" s="149"/>
    </row>
    <row r="284" spans="1:11" ht="15.75">
      <c r="A284" s="147" t="s">
        <v>14</v>
      </c>
      <c r="B284" s="148"/>
      <c r="C284" s="148"/>
      <c r="D284" s="148"/>
      <c r="E284" s="148"/>
      <c r="F284" s="148"/>
      <c r="G284" s="148"/>
      <c r="H284" s="148"/>
      <c r="I284" s="148"/>
      <c r="J284" s="42">
        <f>ROUND(SUM(J283:J283),2)</f>
        <v>7</v>
      </c>
      <c r="K284" s="149"/>
    </row>
    <row r="285" spans="1:11" ht="15.75">
      <c r="A285" s="157"/>
      <c r="B285" s="158"/>
      <c r="C285" s="158"/>
      <c r="D285" s="158"/>
      <c r="E285" s="158"/>
      <c r="F285" s="158"/>
      <c r="G285" s="158"/>
      <c r="H285" s="158"/>
      <c r="I285" s="158"/>
      <c r="J285" s="158"/>
      <c r="K285" s="159"/>
    </row>
    <row r="286" spans="1:11" ht="15.75">
      <c r="A286" s="157"/>
      <c r="B286" s="158"/>
      <c r="C286" s="158"/>
      <c r="D286" s="158"/>
      <c r="E286" s="158"/>
      <c r="F286" s="158"/>
      <c r="G286" s="158"/>
      <c r="H286" s="158"/>
      <c r="I286" s="158"/>
      <c r="J286" s="158"/>
      <c r="K286" s="159"/>
    </row>
    <row r="287" spans="1:11" ht="15.75">
      <c r="A287" s="54" t="s">
        <v>3</v>
      </c>
      <c r="B287" s="55" t="s">
        <v>131</v>
      </c>
      <c r="C287" s="143" t="str">
        <f>'PLANILHA ORÇAMENTÁRIA '!C62</f>
        <v>LAJE PRÉ-MOLDADA CLASSE 45 TON (FORNECIMENTO E INSTALAÇÃO)</v>
      </c>
      <c r="D287" s="143"/>
      <c r="E287" s="143"/>
      <c r="F287" s="143"/>
      <c r="G287" s="143"/>
      <c r="H287" s="143"/>
      <c r="I287" s="143"/>
      <c r="J287" s="143"/>
      <c r="K287" s="144"/>
    </row>
    <row r="288" spans="1:11" ht="15.75">
      <c r="A288" s="145" t="s">
        <v>4</v>
      </c>
      <c r="B288" s="146"/>
      <c r="C288" s="55"/>
      <c r="D288" s="55" t="s">
        <v>5</v>
      </c>
      <c r="E288" s="55" t="s">
        <v>6</v>
      </c>
      <c r="F288" s="55"/>
      <c r="G288" s="55"/>
      <c r="H288" s="55"/>
      <c r="I288" s="55" t="s">
        <v>8</v>
      </c>
      <c r="J288" s="55" t="s">
        <v>21</v>
      </c>
      <c r="K288" s="41" t="s">
        <v>9</v>
      </c>
    </row>
    <row r="289" spans="1:11" ht="15.75">
      <c r="A289" s="147"/>
      <c r="B289" s="148"/>
      <c r="C289" s="53"/>
      <c r="D289" s="57">
        <v>10</v>
      </c>
      <c r="E289" s="57">
        <v>4.2</v>
      </c>
      <c r="F289" s="57"/>
      <c r="G289" s="57"/>
      <c r="H289" s="57"/>
      <c r="I289" s="57">
        <v>2</v>
      </c>
      <c r="J289" s="57">
        <f>ROUND(SUM(D289*E289*I289),2)</f>
        <v>84</v>
      </c>
      <c r="K289" s="149"/>
    </row>
    <row r="290" spans="1:11" ht="15.75">
      <c r="A290" s="147" t="s">
        <v>14</v>
      </c>
      <c r="B290" s="148"/>
      <c r="C290" s="148"/>
      <c r="D290" s="148"/>
      <c r="E290" s="148"/>
      <c r="F290" s="148"/>
      <c r="G290" s="148"/>
      <c r="H290" s="148"/>
      <c r="I290" s="148"/>
      <c r="J290" s="42">
        <f>ROUND(SUM(J289:J289),2)</f>
        <v>84</v>
      </c>
      <c r="K290" s="149"/>
    </row>
    <row r="291" spans="1:11" ht="15.75">
      <c r="A291" s="157"/>
      <c r="B291" s="158"/>
      <c r="C291" s="158"/>
      <c r="D291" s="158"/>
      <c r="E291" s="158"/>
      <c r="F291" s="158"/>
      <c r="G291" s="158"/>
      <c r="H291" s="158"/>
      <c r="I291" s="158"/>
      <c r="J291" s="158"/>
      <c r="K291" s="159"/>
    </row>
    <row r="292" spans="1:11" ht="15.75">
      <c r="A292" s="160" t="s">
        <v>51</v>
      </c>
      <c r="B292" s="161"/>
      <c r="C292" s="162" t="s">
        <v>55</v>
      </c>
      <c r="D292" s="162"/>
      <c r="E292" s="162"/>
      <c r="F292" s="162"/>
      <c r="G292" s="162"/>
      <c r="H292" s="162"/>
      <c r="I292" s="162"/>
      <c r="J292" s="162"/>
      <c r="K292" s="163"/>
    </row>
    <row r="293" spans="1:11" ht="15.75">
      <c r="A293" s="54" t="s">
        <v>3</v>
      </c>
      <c r="B293" s="55" t="s">
        <v>53</v>
      </c>
      <c r="C293" s="143" t="str">
        <f>'PLANILHA ORÇAMENTÁRIA '!C64</f>
        <v>Placa em aço - película I + I - chapa recuperada - fornecimento e implantação</v>
      </c>
      <c r="D293" s="143"/>
      <c r="E293" s="143"/>
      <c r="F293" s="143"/>
      <c r="G293" s="143"/>
      <c r="H293" s="143"/>
      <c r="I293" s="143"/>
      <c r="J293" s="143"/>
      <c r="K293" s="144"/>
    </row>
    <row r="294" spans="1:11" ht="15.75">
      <c r="A294" s="145" t="s">
        <v>4</v>
      </c>
      <c r="B294" s="146"/>
      <c r="C294" s="55"/>
      <c r="D294" s="55" t="s">
        <v>5</v>
      </c>
      <c r="E294" s="55" t="s">
        <v>6</v>
      </c>
      <c r="F294" s="55"/>
      <c r="G294" s="55"/>
      <c r="H294" s="55"/>
      <c r="I294" s="55" t="s">
        <v>8</v>
      </c>
      <c r="J294" s="55" t="s">
        <v>21</v>
      </c>
      <c r="K294" s="41" t="s">
        <v>9</v>
      </c>
    </row>
    <row r="295" spans="1:11" ht="15.75">
      <c r="A295" s="166" t="s">
        <v>64</v>
      </c>
      <c r="B295" s="167"/>
      <c r="C295" s="57"/>
      <c r="D295" s="57">
        <v>1</v>
      </c>
      <c r="E295" s="57">
        <v>0.65</v>
      </c>
      <c r="F295" s="57"/>
      <c r="G295" s="57"/>
      <c r="H295" s="57"/>
      <c r="I295" s="57">
        <v>2</v>
      </c>
      <c r="J295" s="57">
        <f>ROUND(SUM(D295*E295*I295),2)</f>
        <v>1.3</v>
      </c>
      <c r="K295" s="149"/>
    </row>
    <row r="296" spans="1:11" ht="15.75">
      <c r="A296" s="166" t="s">
        <v>160</v>
      </c>
      <c r="B296" s="167"/>
      <c r="C296" s="57"/>
      <c r="D296" s="57">
        <v>0.5</v>
      </c>
      <c r="E296" s="57">
        <v>0.5</v>
      </c>
      <c r="F296" s="57"/>
      <c r="G296" s="57"/>
      <c r="H296" s="57"/>
      <c r="I296" s="57">
        <v>2</v>
      </c>
      <c r="J296" s="57">
        <f>ROUND(SUM(D296*E296*I296),2)</f>
        <v>0.5</v>
      </c>
      <c r="K296" s="149"/>
    </row>
    <row r="297" spans="1:11" ht="15.75">
      <c r="A297" s="166" t="s">
        <v>14</v>
      </c>
      <c r="B297" s="167"/>
      <c r="C297" s="167"/>
      <c r="D297" s="167"/>
      <c r="E297" s="167"/>
      <c r="F297" s="167"/>
      <c r="G297" s="167"/>
      <c r="H297" s="167"/>
      <c r="I297" s="167"/>
      <c r="J297" s="42">
        <f>ROUND(SUM(J295:J296),2)</f>
        <v>1.8</v>
      </c>
      <c r="K297" s="149"/>
    </row>
    <row r="298" spans="1:11" ht="15.75">
      <c r="A298" s="19"/>
      <c r="B298" s="20"/>
      <c r="C298" s="20"/>
      <c r="D298" s="20"/>
      <c r="E298" s="20"/>
      <c r="F298" s="20"/>
      <c r="G298" s="20"/>
      <c r="H298" s="20"/>
      <c r="I298" s="20"/>
      <c r="J298" s="20"/>
      <c r="K298" s="21"/>
    </row>
    <row r="299" spans="1:11" ht="15.75">
      <c r="A299" s="19"/>
      <c r="B299" s="20"/>
      <c r="C299" s="20"/>
      <c r="D299" s="20"/>
      <c r="E299" s="20"/>
      <c r="F299" s="20"/>
      <c r="G299" s="20"/>
      <c r="H299" s="20"/>
      <c r="I299" s="20"/>
      <c r="J299" s="20"/>
      <c r="K299" s="21"/>
    </row>
    <row r="300" spans="1:11" ht="45" customHeight="1">
      <c r="A300" s="19"/>
      <c r="B300" s="20"/>
      <c r="C300" s="20"/>
      <c r="D300" s="20"/>
      <c r="E300" s="20"/>
      <c r="F300" s="20"/>
      <c r="G300" s="20"/>
      <c r="H300" s="20"/>
      <c r="I300" s="20"/>
      <c r="J300" s="20"/>
      <c r="K300" s="21"/>
    </row>
    <row r="301" spans="1:11" ht="15.75">
      <c r="A301" s="19"/>
      <c r="B301" s="115" t="s">
        <v>56</v>
      </c>
      <c r="C301" s="115"/>
      <c r="D301" s="115"/>
      <c r="E301" s="115"/>
      <c r="F301" s="20"/>
      <c r="G301" s="115" t="s">
        <v>291</v>
      </c>
      <c r="H301" s="115"/>
      <c r="I301" s="115"/>
      <c r="J301" s="115"/>
      <c r="K301" s="21"/>
    </row>
    <row r="302" spans="1:11" ht="15.75">
      <c r="A302" s="19"/>
      <c r="B302" s="114" t="s">
        <v>57</v>
      </c>
      <c r="C302" s="114"/>
      <c r="D302" s="114"/>
      <c r="E302" s="114"/>
      <c r="F302" s="20"/>
      <c r="G302" s="114" t="s">
        <v>270</v>
      </c>
      <c r="H302" s="114"/>
      <c r="I302" s="114"/>
      <c r="J302" s="114"/>
      <c r="K302" s="21"/>
    </row>
    <row r="303" spans="1:11" ht="15.75" thickBot="1">
      <c r="A303" s="94"/>
      <c r="B303" s="95"/>
      <c r="C303" s="95"/>
      <c r="D303" s="95"/>
      <c r="E303" s="95"/>
      <c r="F303" s="95"/>
      <c r="G303" s="95"/>
      <c r="H303" s="95"/>
      <c r="I303" s="95"/>
      <c r="J303" s="95"/>
      <c r="K303" s="22"/>
    </row>
    <row r="304" spans="1:11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</row>
    <row r="305" spans="1:11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</row>
    <row r="306" spans="1:11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</row>
    <row r="307" spans="1:11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</row>
    <row r="308" spans="1:11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</row>
    <row r="309" spans="1:11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</row>
    <row r="310" spans="1:11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</row>
    <row r="311" spans="1:11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</row>
    <row r="312" spans="1:11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</row>
    <row r="313" spans="1:11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</row>
    <row r="314" spans="1:11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</row>
    <row r="315" spans="1:11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</row>
    <row r="316" spans="1:11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</row>
    <row r="317" spans="1:11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</row>
    <row r="318" spans="1:11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</row>
    <row r="319" spans="1:11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</row>
    <row r="320" spans="1:11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</row>
    <row r="321" spans="1:11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</row>
    <row r="322" spans="1:11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</row>
    <row r="323" spans="1:11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</row>
    <row r="324" spans="1:11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</row>
    <row r="325" spans="1:11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</row>
    <row r="326" spans="1:11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</row>
    <row r="327" spans="1:11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</row>
    <row r="328" spans="1:11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</row>
    <row r="329" spans="1:11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</row>
    <row r="330" spans="1:11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</row>
    <row r="331" spans="1:11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</row>
    <row r="332" spans="1:11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</row>
    <row r="333" spans="1:11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</row>
    <row r="334" spans="1:11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</row>
    <row r="335" spans="1:11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</row>
    <row r="336" spans="1:11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</row>
    <row r="337" spans="1:11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</row>
    <row r="338" spans="1:11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</row>
    <row r="339" spans="1:11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</row>
    <row r="340" spans="1:11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</row>
    <row r="341" spans="1:11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</row>
    <row r="342" spans="1:11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</row>
    <row r="343" spans="1:11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</row>
    <row r="344" spans="1:11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</row>
    <row r="345" spans="1:11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</row>
    <row r="346" spans="1:1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</row>
    <row r="347" spans="1:11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</row>
    <row r="348" spans="1:11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</row>
    <row r="349" spans="1:11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</row>
    <row r="350" spans="1:11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</row>
    <row r="351" spans="1:11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</row>
    <row r="352" spans="1:11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</row>
    <row r="353" spans="1:11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</row>
    <row r="354" spans="1:11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</row>
    <row r="355" spans="1:11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</row>
    <row r="356" spans="1:11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</row>
    <row r="357" spans="1:11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</row>
    <row r="358" spans="1:11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</row>
    <row r="359" spans="1:11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</row>
    <row r="360" spans="1:11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</row>
    <row r="361" spans="1:11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</row>
    <row r="362" spans="1:11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</row>
    <row r="363" spans="1:11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</row>
    <row r="364" spans="1:11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</row>
    <row r="365" spans="1:11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</row>
    <row r="366" spans="1:11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</row>
    <row r="367" spans="1:11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</row>
    <row r="368" spans="1:11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</row>
    <row r="369" spans="1:11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</row>
    <row r="370" spans="1:11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</row>
    <row r="371" spans="1:11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</row>
    <row r="372" spans="1:11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</row>
    <row r="373" spans="1:11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</row>
    <row r="374" spans="1:11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</row>
    <row r="375" spans="1:11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</row>
    <row r="376" spans="1:11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</row>
    <row r="377" spans="1:11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</row>
    <row r="378" spans="1:11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</row>
    <row r="379" spans="1:11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</row>
    <row r="380" spans="1:11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</row>
    <row r="381" spans="1:11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</row>
    <row r="382" spans="1:11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</row>
    <row r="383" spans="1:11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</row>
    <row r="384" spans="1:11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</row>
    <row r="385" spans="1:11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</row>
    <row r="386" spans="1:1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</row>
    <row r="387" spans="1:1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</row>
    <row r="388" spans="1:1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</row>
    <row r="389" spans="1:1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</row>
    <row r="390" spans="1:1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</row>
    <row r="391" spans="1:1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</row>
    <row r="392" spans="1:1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</row>
    <row r="393" spans="1:11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</row>
    <row r="394" spans="1:11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</row>
    <row r="395" spans="1:11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</row>
    <row r="396" spans="1:11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</row>
    <row r="397" spans="1:11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</row>
    <row r="398" spans="1:11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</row>
    <row r="399" spans="1:11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</row>
    <row r="400" spans="1:11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</row>
    <row r="401" spans="1:11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</row>
    <row r="402" spans="1:11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</row>
    <row r="403" spans="1:11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</row>
    <row r="404" spans="1:11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</row>
    <row r="405" spans="1:11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</row>
    <row r="406" spans="1:11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</row>
    <row r="407" spans="1:11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</row>
    <row r="408" spans="1:11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</row>
    <row r="409" spans="1:11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</row>
    <row r="410" spans="1:11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</row>
    <row r="411" spans="1:11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</row>
    <row r="412" spans="1:11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</row>
    <row r="413" spans="1:11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</row>
    <row r="414" spans="1:11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</row>
    <row r="415" spans="1:11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</row>
    <row r="416" spans="1:11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</row>
    <row r="417" spans="1:11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</row>
    <row r="418" spans="1:11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</row>
    <row r="419" spans="1:11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</row>
    <row r="420" spans="1:11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</row>
    <row r="421" spans="1:11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</row>
    <row r="422" spans="1:11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</row>
    <row r="423" spans="1:11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</row>
    <row r="424" spans="1:11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</row>
    <row r="425" spans="1:11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</row>
    <row r="426" spans="1:1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</row>
    <row r="427" spans="1:11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</row>
    <row r="428" spans="1:11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</row>
    <row r="429" spans="1:11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</row>
    <row r="430" spans="1:11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</row>
    <row r="431" spans="1:11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</row>
    <row r="432" spans="1:11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</row>
    <row r="433" spans="1:11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</row>
    <row r="434" spans="1:11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</row>
    <row r="435" spans="1:11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</row>
    <row r="436" spans="1:11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</row>
    <row r="437" spans="1:11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</row>
    <row r="438" spans="1:11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</row>
    <row r="439" spans="1:11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</row>
    <row r="440" spans="1:11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</row>
    <row r="441" spans="1:11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</row>
    <row r="442" spans="1:11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</row>
    <row r="443" spans="1:11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</row>
    <row r="444" spans="1:11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</row>
    <row r="445" spans="1:11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</row>
    <row r="446" spans="1:11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</row>
    <row r="447" spans="1:11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</row>
    <row r="448" spans="1:11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</row>
    <row r="449" spans="1:11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</row>
    <row r="450" spans="1:11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</row>
    <row r="451" spans="1:11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</row>
    <row r="452" spans="1:11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</row>
    <row r="453" spans="1:11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</row>
    <row r="454" spans="1:11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</row>
    <row r="455" spans="1:11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</row>
    <row r="456" spans="1:11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</row>
    <row r="457" spans="1:11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</row>
    <row r="458" spans="1:11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</row>
    <row r="459" spans="1:11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</row>
    <row r="460" spans="1:11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</row>
    <row r="461" spans="1:11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</row>
    <row r="462" spans="1:11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</row>
    <row r="463" spans="1:11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</row>
    <row r="464" spans="1:11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</row>
    <row r="465" spans="1:11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</row>
    <row r="466" spans="1:11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</row>
    <row r="467" spans="1:11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</row>
    <row r="468" spans="1:11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</row>
    <row r="469" spans="1:11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</row>
    <row r="470" spans="1:11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</row>
    <row r="471" spans="1:11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</row>
    <row r="472" spans="1:11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</row>
    <row r="473" spans="1:11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</row>
    <row r="474" spans="1:11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</row>
    <row r="475" spans="1:11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</row>
    <row r="476" spans="1:11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</row>
    <row r="477" spans="1:11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</row>
    <row r="478" spans="1:11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</row>
    <row r="479" spans="1:11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</row>
    <row r="480" spans="1:1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</row>
    <row r="481" spans="1:1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</row>
    <row r="482" spans="1:1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</row>
    <row r="483" spans="1:1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</row>
    <row r="484" spans="1:1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</row>
    <row r="485" spans="1:1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</row>
    <row r="486" spans="1:1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</row>
    <row r="487" spans="1:1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</row>
    <row r="488" spans="1:1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</row>
    <row r="489" spans="1:1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</row>
    <row r="490" spans="1:1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</row>
    <row r="491" spans="1:1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</row>
    <row r="492" spans="1:1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</row>
    <row r="493" spans="1:1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</row>
    <row r="494" spans="1:1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</row>
    <row r="495" spans="1:1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</row>
    <row r="496" spans="1:1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</row>
    <row r="497" spans="1:1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</row>
    <row r="498" spans="1:1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</row>
    <row r="499" spans="1:1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</row>
    <row r="500" spans="1:1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</row>
    <row r="501" spans="1:1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</row>
    <row r="502" spans="1:1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</row>
    <row r="503" spans="1:1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</row>
    <row r="504" spans="1:1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</row>
    <row r="505" spans="1:1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</row>
    <row r="506" spans="1:1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</row>
    <row r="507" spans="1:1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</row>
    <row r="508" spans="1:1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</row>
    <row r="509" spans="1:1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</row>
    <row r="510" spans="1:1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</row>
    <row r="511" spans="1:1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</row>
    <row r="512" spans="1:1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</row>
    <row r="513" spans="1:1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</row>
    <row r="514" spans="1:1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</row>
    <row r="515" spans="1:1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</row>
    <row r="516" spans="1:1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</row>
    <row r="517" spans="1:1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</row>
    <row r="518" spans="1:1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</row>
    <row r="519" spans="1:1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</row>
    <row r="520" spans="1:1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</row>
    <row r="521" spans="1:1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</row>
    <row r="522" spans="1:1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</row>
    <row r="523" spans="1:1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</row>
    <row r="524" spans="1:1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</row>
    <row r="525" spans="1:1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</row>
    <row r="526" spans="1:1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</row>
    <row r="527" spans="1:1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</row>
    <row r="528" spans="1:1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</row>
    <row r="529" spans="1:1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</row>
    <row r="530" spans="1:1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</row>
    <row r="531" spans="1:1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</row>
    <row r="532" spans="1:1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</row>
    <row r="533" spans="1:1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</row>
    <row r="534" spans="1:1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</row>
    <row r="535" spans="1:1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</row>
    <row r="536" spans="1:1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</row>
    <row r="537" spans="1:1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</row>
    <row r="538" spans="1:1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</row>
    <row r="539" spans="1:1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</row>
    <row r="540" spans="1:1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</row>
    <row r="541" spans="1:1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</row>
    <row r="542" spans="1:1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</row>
    <row r="543" spans="1:1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</row>
    <row r="544" spans="1:1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</row>
    <row r="545" spans="1:1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</row>
    <row r="546" spans="1:1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</row>
    <row r="547" spans="1:1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</row>
    <row r="548" spans="1:1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</row>
    <row r="549" spans="1:1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</row>
    <row r="550" spans="1:1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</row>
    <row r="551" spans="1:1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</row>
    <row r="552" spans="1:1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</row>
    <row r="553" spans="1:1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</row>
    <row r="554" spans="1:1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</row>
    <row r="555" spans="1:1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</row>
    <row r="556" spans="1:1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</row>
    <row r="557" spans="1:1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</row>
    <row r="558" spans="1:1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</row>
    <row r="559" spans="1:1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</row>
    <row r="560" spans="1:1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</row>
    <row r="561" spans="1:1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</row>
    <row r="562" spans="1:1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</row>
    <row r="563" spans="1:1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</row>
    <row r="564" spans="1:1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</row>
    <row r="565" spans="1:1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</row>
    <row r="566" spans="1:1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</row>
    <row r="567" spans="1:1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</row>
    <row r="568" spans="1:1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</row>
    <row r="569" spans="1:1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</row>
    <row r="570" spans="1:1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</row>
    <row r="571" spans="1:1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</row>
    <row r="572" spans="1:1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</row>
    <row r="573" spans="1:1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</row>
    <row r="574" spans="1:1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</row>
    <row r="575" spans="1:1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</row>
    <row r="576" spans="1:1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</row>
    <row r="577" spans="1:1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</row>
    <row r="578" spans="1:1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</row>
    <row r="579" spans="1:1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</row>
    <row r="580" spans="1:1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</row>
    <row r="581" spans="1:1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</row>
    <row r="582" spans="1:1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</row>
    <row r="583" spans="1:1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</row>
    <row r="584" spans="1:1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</row>
    <row r="585" spans="1:1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</row>
    <row r="586" spans="1:1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</row>
    <row r="587" spans="1:1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</row>
    <row r="588" spans="1:1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</row>
    <row r="589" spans="1:1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</row>
    <row r="590" spans="1:1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</row>
    <row r="591" spans="1:1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</row>
    <row r="592" spans="1:1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</row>
    <row r="593" spans="1:1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</row>
    <row r="594" spans="1:1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</row>
    <row r="595" spans="1:1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</row>
    <row r="596" spans="1:1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</row>
    <row r="597" spans="1:1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</row>
    <row r="598" spans="1:1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</row>
    <row r="599" spans="1:1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</row>
    <row r="600" spans="1:1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</row>
    <row r="601" spans="1:1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</row>
    <row r="602" spans="1:1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</row>
    <row r="603" spans="1:1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</row>
    <row r="604" spans="1:1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</row>
    <row r="605" spans="1:1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</row>
    <row r="606" spans="1:1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</row>
    <row r="607" spans="1:1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</row>
    <row r="608" spans="1:1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</row>
    <row r="609" spans="1:1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</row>
    <row r="610" spans="1:1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</row>
    <row r="611" spans="1:1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</row>
    <row r="612" spans="1:1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</row>
    <row r="613" spans="1:1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</row>
    <row r="614" spans="1:1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</row>
    <row r="615" spans="1:1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</row>
    <row r="616" spans="1:1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</row>
    <row r="617" spans="1:1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</row>
    <row r="618" spans="1:1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</row>
    <row r="619" spans="1:1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</row>
    <row r="620" spans="1:1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</row>
    <row r="621" spans="1:1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</row>
    <row r="622" spans="1:1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</row>
    <row r="623" spans="1:1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</row>
    <row r="624" spans="1:1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</row>
    <row r="625" spans="1:1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</row>
    <row r="626" spans="1:1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</row>
    <row r="627" spans="1:1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</row>
    <row r="628" spans="1:1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</row>
    <row r="629" spans="1:1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</row>
    <row r="630" spans="1:1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</row>
    <row r="631" spans="1:1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</row>
    <row r="632" spans="1:1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</row>
    <row r="633" spans="1:1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</row>
    <row r="634" spans="1:1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</row>
    <row r="635" spans="1:1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</row>
    <row r="636" spans="1:1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</row>
    <row r="637" spans="1:1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</row>
    <row r="638" spans="1:1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</row>
    <row r="639" spans="1:1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</row>
    <row r="640" spans="1:1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</row>
    <row r="641" spans="1:1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</row>
    <row r="642" spans="1:1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</row>
    <row r="643" spans="1:1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</row>
    <row r="644" spans="1:1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</row>
    <row r="645" spans="1:1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</row>
    <row r="646" spans="1:1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</row>
    <row r="647" spans="1:1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</row>
    <row r="648" spans="1:1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</row>
    <row r="649" spans="1:1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</row>
    <row r="650" spans="1:1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</row>
    <row r="651" spans="1:1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</row>
    <row r="652" spans="1:1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</row>
    <row r="653" spans="1:1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</row>
    <row r="654" spans="1:1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</row>
    <row r="655" spans="1:1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</row>
    <row r="656" spans="1:1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</row>
    <row r="657" spans="1:1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</row>
    <row r="658" spans="1:1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</row>
    <row r="659" spans="1:1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</row>
    <row r="660" spans="1:1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</row>
    <row r="661" spans="1:1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</row>
    <row r="662" spans="1:1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</row>
    <row r="663" spans="1:1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</row>
    <row r="664" spans="1:1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</row>
    <row r="665" spans="1:1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</row>
    <row r="666" spans="1:1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</row>
    <row r="667" spans="1:1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</row>
    <row r="668" spans="1:1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</row>
    <row r="669" spans="1:1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</row>
    <row r="670" spans="1:1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</row>
    <row r="671" spans="1:1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</row>
    <row r="672" spans="1:1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</row>
    <row r="673" spans="1:1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</row>
    <row r="674" spans="1:1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</row>
    <row r="675" spans="1:1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</row>
    <row r="676" spans="1:1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</row>
    <row r="677" spans="1:1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</row>
    <row r="678" spans="1:1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</row>
    <row r="679" spans="1:1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</row>
    <row r="680" spans="1:1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</row>
    <row r="681" spans="1:1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</row>
    <row r="682" spans="1:1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</row>
    <row r="683" spans="1:1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</row>
    <row r="684" spans="1:1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</row>
    <row r="685" spans="1:1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</row>
    <row r="686" spans="1:1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</row>
    <row r="687" spans="1:1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</row>
    <row r="688" spans="1:1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</row>
    <row r="689" spans="1:1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</row>
    <row r="690" spans="1:1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</row>
    <row r="691" spans="1:1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</row>
    <row r="692" spans="1:1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</row>
    <row r="693" spans="1:1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</row>
    <row r="694" spans="1:1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</row>
    <row r="695" spans="1:1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</row>
    <row r="696" spans="1:1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</row>
    <row r="697" spans="1:1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</row>
    <row r="698" spans="1:1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</row>
    <row r="699" spans="1:1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</row>
    <row r="700" spans="1:1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</row>
    <row r="701" spans="1:1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</row>
    <row r="702" spans="1:1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</row>
    <row r="703" spans="1:1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</row>
    <row r="704" spans="1:1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</row>
    <row r="705" spans="1:1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</row>
    <row r="706" spans="1:1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</row>
    <row r="707" spans="1:1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</row>
    <row r="708" spans="1:1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</row>
    <row r="709" spans="1:1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</row>
    <row r="710" spans="1:1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</row>
    <row r="711" spans="1:1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</row>
    <row r="712" spans="1:1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</row>
    <row r="713" spans="1:1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</row>
    <row r="714" spans="1:1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</row>
    <row r="715" spans="1:1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</row>
    <row r="716" spans="1:1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</row>
    <row r="717" spans="1:1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</row>
    <row r="718" spans="1:1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</row>
    <row r="719" spans="1:1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</row>
    <row r="720" spans="1:1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</row>
    <row r="721" spans="1:1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</row>
    <row r="722" spans="1:1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</row>
    <row r="723" spans="1:1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</row>
    <row r="724" spans="1:1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</row>
    <row r="725" spans="1:1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</row>
    <row r="726" spans="1:1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</row>
    <row r="727" spans="1:1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</row>
    <row r="728" spans="1:1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</row>
    <row r="729" spans="1:1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</row>
    <row r="730" spans="1:1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</row>
    <row r="731" spans="1:1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</row>
    <row r="732" spans="1:1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</row>
    <row r="733" spans="1:1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</row>
    <row r="734" spans="1:1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</row>
    <row r="735" spans="1:1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</row>
    <row r="736" spans="1:1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</row>
    <row r="737" spans="1:1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</row>
    <row r="738" spans="1:1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</row>
    <row r="739" spans="1:1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</row>
    <row r="740" spans="1:1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</row>
    <row r="741" spans="1:1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</row>
    <row r="742" spans="1:1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</row>
    <row r="743" spans="1:1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</row>
    <row r="744" spans="1:1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</row>
    <row r="745" spans="1:1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</row>
    <row r="746" spans="1:1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</row>
    <row r="747" spans="1:1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</row>
    <row r="748" spans="1:1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</row>
    <row r="749" spans="1:1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</row>
    <row r="750" spans="1:1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</row>
    <row r="751" spans="1:1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</row>
    <row r="752" spans="1:1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</row>
    <row r="753" spans="1:1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</row>
    <row r="754" spans="1:1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</row>
    <row r="755" spans="1:1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</row>
    <row r="756" spans="1:1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</row>
    <row r="757" spans="1:1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</row>
    <row r="758" spans="1:1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</row>
    <row r="759" spans="1:1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</row>
    <row r="760" spans="1:1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</row>
    <row r="761" spans="1:1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</row>
    <row r="762" spans="1:1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</row>
    <row r="763" spans="1:1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</row>
    <row r="764" spans="1:1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</row>
    <row r="765" spans="1:1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</row>
    <row r="766" spans="1:1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</row>
    <row r="767" spans="1:1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</row>
    <row r="768" spans="1:1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</row>
    <row r="769" spans="1:1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</row>
    <row r="770" spans="1:1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</row>
    <row r="771" spans="1:1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</row>
    <row r="772" spans="1:1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</row>
    <row r="773" spans="1:1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</row>
    <row r="774" spans="1:1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</row>
    <row r="775" spans="1:1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</row>
    <row r="776" spans="1:1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</row>
    <row r="777" spans="1:1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</row>
    <row r="778" spans="1:1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</row>
    <row r="779" spans="1:1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</row>
    <row r="780" spans="1:1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</row>
    <row r="781" spans="1:1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</row>
    <row r="782" spans="1:1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</row>
    <row r="783" spans="1:1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</row>
    <row r="784" spans="1:1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</row>
    <row r="785" spans="1:1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</row>
    <row r="786" spans="1:1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</row>
    <row r="787" spans="1:1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</row>
    <row r="788" spans="1:1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</row>
    <row r="789" spans="1:1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</row>
    <row r="790" spans="1:1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</row>
    <row r="791" spans="1:1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</row>
    <row r="792" spans="1:1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</row>
    <row r="793" spans="1:1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</row>
    <row r="794" spans="1:1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</row>
    <row r="795" spans="1:1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</row>
    <row r="796" spans="1:1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</row>
    <row r="797" spans="1:1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</row>
    <row r="798" spans="1:1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</row>
    <row r="799" spans="1:1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</row>
    <row r="800" spans="1:1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</row>
    <row r="801" spans="1:1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</row>
    <row r="802" spans="1:1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</row>
    <row r="803" spans="1:1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</row>
    <row r="804" spans="1:1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</row>
    <row r="805" spans="1:1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</row>
    <row r="806" spans="1:1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</row>
    <row r="807" spans="1:1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</row>
    <row r="808" spans="1:1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</row>
    <row r="809" spans="1:1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</row>
    <row r="810" spans="1:1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</row>
    <row r="811" spans="1:1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</row>
    <row r="812" spans="1:1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</row>
    <row r="813" spans="1:1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</row>
    <row r="814" spans="1:1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</row>
    <row r="815" spans="1:1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</row>
    <row r="816" spans="1:1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</row>
    <row r="817" spans="1:1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</row>
    <row r="818" spans="1:1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</row>
    <row r="819" spans="1:1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</row>
    <row r="820" spans="1:1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</row>
    <row r="821" spans="1:1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</row>
    <row r="822" spans="1:1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</row>
    <row r="823" spans="1:1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</row>
    <row r="824" spans="1:1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</row>
    <row r="825" spans="1:1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</row>
    <row r="826" spans="1:1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</row>
    <row r="827" spans="1:1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</row>
    <row r="828" spans="1:1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</row>
    <row r="829" spans="1:1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</row>
    <row r="830" spans="1:1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</row>
    <row r="831" spans="1:1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</row>
    <row r="832" spans="1:1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</row>
    <row r="833" spans="1:1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</row>
    <row r="834" spans="1:1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</row>
    <row r="835" spans="1:1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</row>
    <row r="836" spans="1:1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</row>
    <row r="837" spans="1:1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</row>
    <row r="838" spans="1:1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</row>
    <row r="839" spans="1:1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</row>
    <row r="840" spans="1:1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</row>
    <row r="841" spans="1:1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</row>
    <row r="842" spans="1:1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</row>
    <row r="843" spans="1:1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</row>
  </sheetData>
  <mergeCells count="357">
    <mergeCell ref="A226:B226"/>
    <mergeCell ref="C234:K234"/>
    <mergeCell ref="A235:B235"/>
    <mergeCell ref="A236:B236"/>
    <mergeCell ref="K236:K237"/>
    <mergeCell ref="A237:I237"/>
    <mergeCell ref="A153:B153"/>
    <mergeCell ref="A154:B154"/>
    <mergeCell ref="A230:B230"/>
    <mergeCell ref="A227:B227"/>
    <mergeCell ref="K227:K231"/>
    <mergeCell ref="A228:B228"/>
    <mergeCell ref="A231:I231"/>
    <mergeCell ref="A232:K232"/>
    <mergeCell ref="A223:I223"/>
    <mergeCell ref="A216:K216"/>
    <mergeCell ref="A221:B221"/>
    <mergeCell ref="C217:K217"/>
    <mergeCell ref="A218:B218"/>
    <mergeCell ref="A219:B219"/>
    <mergeCell ref="K219:K223"/>
    <mergeCell ref="A220:B220"/>
    <mergeCell ref="A222:B222"/>
    <mergeCell ref="A179:B179"/>
    <mergeCell ref="A191:B191"/>
    <mergeCell ref="A210:I210"/>
    <mergeCell ref="A211:K211"/>
    <mergeCell ref="A159:K159"/>
    <mergeCell ref="C160:K160"/>
    <mergeCell ref="A161:B161"/>
    <mergeCell ref="A192:B192"/>
    <mergeCell ref="K192:K193"/>
    <mergeCell ref="C185:K185"/>
    <mergeCell ref="K187:K188"/>
    <mergeCell ref="A187:B187"/>
    <mergeCell ref="A188:I188"/>
    <mergeCell ref="A189:K189"/>
    <mergeCell ref="A113:B113"/>
    <mergeCell ref="A104:B104"/>
    <mergeCell ref="A105:B105"/>
    <mergeCell ref="K105:K109"/>
    <mergeCell ref="A106:B106"/>
    <mergeCell ref="A107:B107"/>
    <mergeCell ref="A109:I109"/>
    <mergeCell ref="A149:B149"/>
    <mergeCell ref="A157:B157"/>
    <mergeCell ref="C48:K48"/>
    <mergeCell ref="A49:B49"/>
    <mergeCell ref="K50:K51"/>
    <mergeCell ref="A50:B50"/>
    <mergeCell ref="A51:I51"/>
    <mergeCell ref="A79:B79"/>
    <mergeCell ref="A87:B87"/>
    <mergeCell ref="A100:B100"/>
    <mergeCell ref="A108:B108"/>
    <mergeCell ref="A97:B97"/>
    <mergeCell ref="K97:K101"/>
    <mergeCell ref="A98:B98"/>
    <mergeCell ref="A99:B99"/>
    <mergeCell ref="A101:I101"/>
    <mergeCell ref="A19:K19"/>
    <mergeCell ref="C15:K15"/>
    <mergeCell ref="A16:B16"/>
    <mergeCell ref="A17:B17"/>
    <mergeCell ref="K17:K18"/>
    <mergeCell ref="A18:I18"/>
    <mergeCell ref="A14:K14"/>
    <mergeCell ref="A47:B47"/>
    <mergeCell ref="C47:K47"/>
    <mergeCell ref="B1:H1"/>
    <mergeCell ref="B2:H2"/>
    <mergeCell ref="I1:K2"/>
    <mergeCell ref="A11:B11"/>
    <mergeCell ref="A12:B12"/>
    <mergeCell ref="K12:K13"/>
    <mergeCell ref="A6:K6"/>
    <mergeCell ref="A9:B9"/>
    <mergeCell ref="C9:K9"/>
    <mergeCell ref="C10:K10"/>
    <mergeCell ref="A8:K8"/>
    <mergeCell ref="I4:K4"/>
    <mergeCell ref="I3:K3"/>
    <mergeCell ref="A5:G5"/>
    <mergeCell ref="B4:G4"/>
    <mergeCell ref="B3:G3"/>
    <mergeCell ref="B7:K7"/>
    <mergeCell ref="A13:I13"/>
    <mergeCell ref="A35:B35"/>
    <mergeCell ref="C35:K35"/>
    <mergeCell ref="C36:K36"/>
    <mergeCell ref="A37:B37"/>
    <mergeCell ref="K38:K39"/>
    <mergeCell ref="A39:I39"/>
    <mergeCell ref="A40:K40"/>
    <mergeCell ref="A76:B76"/>
    <mergeCell ref="K76:K80"/>
    <mergeCell ref="A77:B77"/>
    <mergeCell ref="A78:B78"/>
    <mergeCell ref="A80:I80"/>
    <mergeCell ref="A52:K52"/>
    <mergeCell ref="A73:B73"/>
    <mergeCell ref="C73:K73"/>
    <mergeCell ref="C74:K74"/>
    <mergeCell ref="A75:B75"/>
    <mergeCell ref="A62:K62"/>
    <mergeCell ref="C63:K63"/>
    <mergeCell ref="A64:B64"/>
    <mergeCell ref="A65:B65"/>
    <mergeCell ref="K65:K66"/>
    <mergeCell ref="A66:I66"/>
    <mergeCell ref="A67:K67"/>
    <mergeCell ref="C53:K53"/>
    <mergeCell ref="A54:B54"/>
    <mergeCell ref="A89:K89"/>
    <mergeCell ref="C95:K95"/>
    <mergeCell ref="A96:B96"/>
    <mergeCell ref="A81:K81"/>
    <mergeCell ref="C82:K82"/>
    <mergeCell ref="A83:B83"/>
    <mergeCell ref="A84:B84"/>
    <mergeCell ref="K84:K88"/>
    <mergeCell ref="A85:B85"/>
    <mergeCell ref="A86:B86"/>
    <mergeCell ref="A88:I88"/>
    <mergeCell ref="C90:K90"/>
    <mergeCell ref="A91:B91"/>
    <mergeCell ref="K92:K93"/>
    <mergeCell ref="A93:I93"/>
    <mergeCell ref="A94:K94"/>
    <mergeCell ref="A55:B55"/>
    <mergeCell ref="A70:B70"/>
    <mergeCell ref="K70:K71"/>
    <mergeCell ref="A69:B69"/>
    <mergeCell ref="A71:I71"/>
    <mergeCell ref="A72:K72"/>
    <mergeCell ref="A110:K110"/>
    <mergeCell ref="C136:K136"/>
    <mergeCell ref="A137:B137"/>
    <mergeCell ref="A138:B138"/>
    <mergeCell ref="C116:K116"/>
    <mergeCell ref="A125:K125"/>
    <mergeCell ref="C126:K126"/>
    <mergeCell ref="A135:K135"/>
    <mergeCell ref="K55:K56"/>
    <mergeCell ref="A56:I56"/>
    <mergeCell ref="A57:K57"/>
    <mergeCell ref="C68:K68"/>
    <mergeCell ref="A118:B118"/>
    <mergeCell ref="A92:B92"/>
    <mergeCell ref="C121:K121"/>
    <mergeCell ref="A122:B122"/>
    <mergeCell ref="A123:B123"/>
    <mergeCell ref="K123:K124"/>
    <mergeCell ref="A124:I124"/>
    <mergeCell ref="K113:K114"/>
    <mergeCell ref="A114:I114"/>
    <mergeCell ref="A115:K115"/>
    <mergeCell ref="C111:K111"/>
    <mergeCell ref="A112:B112"/>
    <mergeCell ref="A259:B259"/>
    <mergeCell ref="A260:B260"/>
    <mergeCell ref="A279:I279"/>
    <mergeCell ref="A255:K255"/>
    <mergeCell ref="K265:K266"/>
    <mergeCell ref="A266:I266"/>
    <mergeCell ref="A267:K267"/>
    <mergeCell ref="A162:B162"/>
    <mergeCell ref="K162:K170"/>
    <mergeCell ref="A164:B164"/>
    <mergeCell ref="A166:B166"/>
    <mergeCell ref="A170:I170"/>
    <mergeCell ref="C225:K225"/>
    <mergeCell ref="A229:B229"/>
    <mergeCell ref="A248:K248"/>
    <mergeCell ref="A168:B168"/>
    <mergeCell ref="A169:B169"/>
    <mergeCell ref="A182:B182"/>
    <mergeCell ref="C212:K212"/>
    <mergeCell ref="A213:B213"/>
    <mergeCell ref="A214:B214"/>
    <mergeCell ref="K214:K215"/>
    <mergeCell ref="A215:I215"/>
    <mergeCell ref="A181:B181"/>
    <mergeCell ref="A291:K291"/>
    <mergeCell ref="C268:K268"/>
    <mergeCell ref="A269:B269"/>
    <mergeCell ref="A270:B270"/>
    <mergeCell ref="K270:K272"/>
    <mergeCell ref="A271:B271"/>
    <mergeCell ref="A272:I272"/>
    <mergeCell ref="C287:K287"/>
    <mergeCell ref="A288:B288"/>
    <mergeCell ref="A289:B289"/>
    <mergeCell ref="K289:K290"/>
    <mergeCell ref="A290:I290"/>
    <mergeCell ref="A286:K286"/>
    <mergeCell ref="C281:K281"/>
    <mergeCell ref="A282:B282"/>
    <mergeCell ref="A285:K285"/>
    <mergeCell ref="C274:K274"/>
    <mergeCell ref="A275:B275"/>
    <mergeCell ref="A254:I254"/>
    <mergeCell ref="A276:B276"/>
    <mergeCell ref="K276:K279"/>
    <mergeCell ref="A233:B233"/>
    <mergeCell ref="A283:B283"/>
    <mergeCell ref="K283:K284"/>
    <mergeCell ref="A284:I284"/>
    <mergeCell ref="A265:B265"/>
    <mergeCell ref="A273:K273"/>
    <mergeCell ref="A277:B277"/>
    <mergeCell ref="A278:B278"/>
    <mergeCell ref="A280:K280"/>
    <mergeCell ref="A257:B257"/>
    <mergeCell ref="A258:B258"/>
    <mergeCell ref="K258:K261"/>
    <mergeCell ref="C233:K233"/>
    <mergeCell ref="C249:K249"/>
    <mergeCell ref="A250:B250"/>
    <mergeCell ref="C239:K239"/>
    <mergeCell ref="A240:B240"/>
    <mergeCell ref="A241:B241"/>
    <mergeCell ref="A247:I247"/>
    <mergeCell ref="A238:K238"/>
    <mergeCell ref="A246:B246"/>
    <mergeCell ref="A245:B245"/>
    <mergeCell ref="C20:K20"/>
    <mergeCell ref="A21:B21"/>
    <mergeCell ref="A22:B22"/>
    <mergeCell ref="K22:K23"/>
    <mergeCell ref="A23:I23"/>
    <mergeCell ref="A24:K24"/>
    <mergeCell ref="A242:B242"/>
    <mergeCell ref="C256:K256"/>
    <mergeCell ref="A193:I193"/>
    <mergeCell ref="A38:B38"/>
    <mergeCell ref="A41:B41"/>
    <mergeCell ref="A43:B43"/>
    <mergeCell ref="A59:B59"/>
    <mergeCell ref="A60:B60"/>
    <mergeCell ref="C195:K195"/>
    <mergeCell ref="A196:B196"/>
    <mergeCell ref="A197:B197"/>
    <mergeCell ref="K197:K199"/>
    <mergeCell ref="A198:B198"/>
    <mergeCell ref="A199:I199"/>
    <mergeCell ref="A194:K194"/>
    <mergeCell ref="A180:B180"/>
    <mergeCell ref="K180:K183"/>
    <mergeCell ref="B301:E301"/>
    <mergeCell ref="B302:E302"/>
    <mergeCell ref="G301:J301"/>
    <mergeCell ref="G302:J302"/>
    <mergeCell ref="A292:B292"/>
    <mergeCell ref="C292:K292"/>
    <mergeCell ref="C293:K293"/>
    <mergeCell ref="A294:B294"/>
    <mergeCell ref="A295:B295"/>
    <mergeCell ref="K295:K297"/>
    <mergeCell ref="A296:B296"/>
    <mergeCell ref="A297:I297"/>
    <mergeCell ref="A251:B251"/>
    <mergeCell ref="K251:K254"/>
    <mergeCell ref="A252:B252"/>
    <mergeCell ref="A253:B253"/>
    <mergeCell ref="A261:I261"/>
    <mergeCell ref="A262:K262"/>
    <mergeCell ref="C263:K263"/>
    <mergeCell ref="A264:B264"/>
    <mergeCell ref="A183:I183"/>
    <mergeCell ref="A184:K184"/>
    <mergeCell ref="C190:K190"/>
    <mergeCell ref="A224:K224"/>
    <mergeCell ref="A200:K200"/>
    <mergeCell ref="C201:K201"/>
    <mergeCell ref="A202:B202"/>
    <mergeCell ref="K203:K204"/>
    <mergeCell ref="A203:B203"/>
    <mergeCell ref="A204:I204"/>
    <mergeCell ref="A205:K205"/>
    <mergeCell ref="C206:K206"/>
    <mergeCell ref="A207:B207"/>
    <mergeCell ref="A208:B208"/>
    <mergeCell ref="K208:K210"/>
    <mergeCell ref="A209:B209"/>
    <mergeCell ref="A102:K102"/>
    <mergeCell ref="A186:B186"/>
    <mergeCell ref="A177:B177"/>
    <mergeCell ref="C177:K177"/>
    <mergeCell ref="C178:K178"/>
    <mergeCell ref="A176:K176"/>
    <mergeCell ref="A171:K171"/>
    <mergeCell ref="C172:K172"/>
    <mergeCell ref="A173:B173"/>
    <mergeCell ref="A174:B174"/>
    <mergeCell ref="K174:K175"/>
    <mergeCell ref="A175:I175"/>
    <mergeCell ref="A146:B146"/>
    <mergeCell ref="K146:K150"/>
    <mergeCell ref="A147:B147"/>
    <mergeCell ref="A148:B148"/>
    <mergeCell ref="A150:I150"/>
    <mergeCell ref="A151:K151"/>
    <mergeCell ref="A127:B127"/>
    <mergeCell ref="A128:B128"/>
    <mergeCell ref="K128:K129"/>
    <mergeCell ref="A129:I129"/>
    <mergeCell ref="A130:K130"/>
    <mergeCell ref="A141:B141"/>
    <mergeCell ref="A243:B243"/>
    <mergeCell ref="A244:B244"/>
    <mergeCell ref="A165:B165"/>
    <mergeCell ref="A167:B167"/>
    <mergeCell ref="C152:K152"/>
    <mergeCell ref="C58:K58"/>
    <mergeCell ref="K60:K61"/>
    <mergeCell ref="A61:I61"/>
    <mergeCell ref="A44:B44"/>
    <mergeCell ref="K44:K45"/>
    <mergeCell ref="A45:I45"/>
    <mergeCell ref="A46:K46"/>
    <mergeCell ref="K154:K158"/>
    <mergeCell ref="A155:B155"/>
    <mergeCell ref="A156:B156"/>
    <mergeCell ref="A158:I158"/>
    <mergeCell ref="K138:K142"/>
    <mergeCell ref="A139:B139"/>
    <mergeCell ref="A140:B140"/>
    <mergeCell ref="A142:I142"/>
    <mergeCell ref="A117:B117"/>
    <mergeCell ref="K118:K119"/>
    <mergeCell ref="A119:I119"/>
    <mergeCell ref="A120:K120"/>
    <mergeCell ref="C25:K25"/>
    <mergeCell ref="A26:B26"/>
    <mergeCell ref="A27:B27"/>
    <mergeCell ref="K27:K28"/>
    <mergeCell ref="A28:I28"/>
    <mergeCell ref="A29:K29"/>
    <mergeCell ref="C41:K41"/>
    <mergeCell ref="C42:K42"/>
    <mergeCell ref="A163:B163"/>
    <mergeCell ref="C131:K131"/>
    <mergeCell ref="A132:B132"/>
    <mergeCell ref="A133:B133"/>
    <mergeCell ref="K133:K134"/>
    <mergeCell ref="A134:I134"/>
    <mergeCell ref="C103:K103"/>
    <mergeCell ref="A34:K34"/>
    <mergeCell ref="C30:K30"/>
    <mergeCell ref="A31:B31"/>
    <mergeCell ref="A32:B32"/>
    <mergeCell ref="K32:K33"/>
    <mergeCell ref="A33:I33"/>
    <mergeCell ref="A143:K143"/>
    <mergeCell ref="C144:K144"/>
    <mergeCell ref="A145:B145"/>
  </mergeCells>
  <pageMargins left="0.25" right="0.25" top="0.75" bottom="0.75" header="0.3" footer="0.3"/>
  <pageSetup paperSize="9" scale="53" fitToHeight="0" orientation="landscape" r:id="rId1"/>
  <headerFooter>
    <oddHeader>&amp;C&amp;"Times New Roman,Negrito"&amp;16MEMORIA DE CALULO</oddHeader>
    <oddFooter>&amp;R&amp;"Times New Roman,Normal"&amp;12Página &amp;P de &amp;N</oddFooter>
  </headerFooter>
  <rowBreaks count="6" manualBreakCount="6">
    <brk id="52" max="10" man="1"/>
    <brk id="94" max="10" man="1"/>
    <brk id="140" max="10" man="1"/>
    <brk id="189" max="10" man="1"/>
    <brk id="238" max="10" man="1"/>
    <brk id="286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74335-2424-462F-B504-B23D590A713F}">
  <sheetPr>
    <pageSetUpPr fitToPage="1"/>
  </sheetPr>
  <dimension ref="A1:Z43"/>
  <sheetViews>
    <sheetView view="pageBreakPreview" zoomScale="70" zoomScaleNormal="55" zoomScaleSheetLayoutView="70" workbookViewId="0">
      <selection activeCell="K7" sqref="K7:L7"/>
    </sheetView>
  </sheetViews>
  <sheetFormatPr defaultRowHeight="15"/>
  <cols>
    <col min="2" max="2" width="60.140625" customWidth="1"/>
    <col min="3" max="3" width="16.7109375" customWidth="1"/>
    <col min="4" max="4" width="16.5703125" customWidth="1"/>
    <col min="5" max="5" width="14.140625" customWidth="1"/>
    <col min="6" max="8" width="16" customWidth="1"/>
    <col min="9" max="9" width="13.85546875" customWidth="1"/>
    <col min="10" max="10" width="15.7109375" customWidth="1"/>
    <col min="11" max="11" width="13.28515625" customWidth="1"/>
    <col min="12" max="12" width="15.7109375" customWidth="1"/>
    <col min="13" max="13" width="12.5703125" customWidth="1"/>
    <col min="15" max="15" width="12.42578125" bestFit="1" customWidth="1"/>
    <col min="16" max="16" width="17.28515625" customWidth="1"/>
    <col min="17" max="17" width="16.42578125" customWidth="1"/>
    <col min="18" max="18" width="15.42578125" customWidth="1"/>
    <col min="19" max="19" width="14" customWidth="1"/>
    <col min="20" max="20" width="14.28515625" customWidth="1"/>
    <col min="21" max="21" width="12.140625" customWidth="1"/>
    <col min="22" max="22" width="12.85546875" customWidth="1"/>
    <col min="23" max="23" width="11.5703125" customWidth="1"/>
  </cols>
  <sheetData>
    <row r="1" spans="1:26" ht="72.75" customHeight="1">
      <c r="A1" s="223" t="s">
        <v>252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5"/>
      <c r="P1" s="230"/>
      <c r="Q1" s="230"/>
      <c r="R1" s="230"/>
      <c r="S1" s="230"/>
      <c r="T1" s="230"/>
      <c r="U1" s="230"/>
      <c r="V1" s="230"/>
      <c r="W1" s="230"/>
      <c r="X1" s="230"/>
      <c r="Y1" s="230"/>
      <c r="Z1" s="3"/>
    </row>
    <row r="2" spans="1:26" ht="15.75">
      <c r="A2" s="226" t="s">
        <v>265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8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3"/>
    </row>
    <row r="3" spans="1:26" ht="30.75" customHeight="1">
      <c r="A3" s="218" t="s">
        <v>279</v>
      </c>
      <c r="B3" s="219"/>
      <c r="C3" s="219"/>
      <c r="D3" s="219"/>
      <c r="E3" s="219"/>
      <c r="F3" s="219"/>
      <c r="G3" s="219"/>
      <c r="H3" s="219"/>
      <c r="I3" s="219"/>
      <c r="J3" s="219"/>
      <c r="K3" s="220"/>
      <c r="L3" s="138" t="s">
        <v>112</v>
      </c>
      <c r="M3" s="138"/>
      <c r="N3" s="138">
        <f ca="1">TODAY()</f>
        <v>45894</v>
      </c>
      <c r="O3" s="229"/>
      <c r="P3" s="232"/>
      <c r="Q3" s="232"/>
      <c r="R3" s="232"/>
      <c r="S3" s="232"/>
      <c r="T3" s="232"/>
      <c r="U3" s="232"/>
      <c r="V3" s="233"/>
      <c r="W3" s="233"/>
      <c r="X3" s="234"/>
      <c r="Y3" s="234"/>
      <c r="Z3" s="3"/>
    </row>
    <row r="4" spans="1:26" ht="15.75">
      <c r="A4" s="213" t="s">
        <v>295</v>
      </c>
      <c r="B4" s="214"/>
      <c r="C4" s="214"/>
      <c r="D4" s="214"/>
      <c r="E4" s="214"/>
      <c r="F4" s="214"/>
      <c r="G4" s="214"/>
      <c r="H4" s="214"/>
      <c r="I4" s="214"/>
      <c r="J4" s="214"/>
      <c r="K4" s="215"/>
      <c r="L4" s="176" t="s">
        <v>113</v>
      </c>
      <c r="M4" s="176"/>
      <c r="N4" s="176"/>
      <c r="O4" s="177"/>
      <c r="P4" s="235"/>
      <c r="Q4" s="235"/>
      <c r="R4" s="235"/>
      <c r="S4" s="235"/>
      <c r="T4" s="235"/>
      <c r="U4" s="235"/>
      <c r="V4" s="222"/>
      <c r="W4" s="222"/>
      <c r="X4" s="222"/>
      <c r="Y4" s="222"/>
      <c r="Z4" s="3"/>
    </row>
    <row r="5" spans="1:26" ht="15.75" customHeight="1">
      <c r="A5" s="210" t="s">
        <v>325</v>
      </c>
      <c r="B5" s="211"/>
      <c r="C5" s="211"/>
      <c r="D5" s="211"/>
      <c r="E5" s="211"/>
      <c r="F5" s="211"/>
      <c r="G5" s="211"/>
      <c r="H5" s="211"/>
      <c r="I5" s="211"/>
      <c r="J5" s="211"/>
      <c r="K5" s="212"/>
      <c r="L5" s="58" t="s">
        <v>170</v>
      </c>
      <c r="M5" s="9" t="s">
        <v>171</v>
      </c>
      <c r="N5" s="58" t="s">
        <v>172</v>
      </c>
      <c r="O5" s="10" t="s">
        <v>173</v>
      </c>
      <c r="P5" s="221"/>
      <c r="Q5" s="221"/>
      <c r="R5" s="221"/>
      <c r="S5" s="221"/>
      <c r="T5" s="221"/>
      <c r="U5" s="221"/>
      <c r="V5" s="25"/>
      <c r="W5" s="26"/>
      <c r="X5" s="25"/>
      <c r="Y5" s="25"/>
      <c r="Z5" s="3"/>
    </row>
    <row r="6" spans="1:26" ht="47.25" customHeight="1">
      <c r="A6" s="210" t="s">
        <v>174</v>
      </c>
      <c r="B6" s="211"/>
      <c r="C6" s="211"/>
      <c r="D6" s="211"/>
      <c r="E6" s="211"/>
      <c r="F6" s="211"/>
      <c r="G6" s="211"/>
      <c r="H6" s="211"/>
      <c r="I6" s="211"/>
      <c r="J6" s="211"/>
      <c r="K6" s="212"/>
      <c r="L6" s="59" t="s">
        <v>175</v>
      </c>
      <c r="M6" s="12">
        <f>'PLANILHA ORÇAMENTÁRIA '!H6</f>
        <v>0.03</v>
      </c>
      <c r="N6" s="58" t="s">
        <v>13</v>
      </c>
      <c r="O6" s="83">
        <f>'PLANILHA ORÇAMENTÁRIA '!J6</f>
        <v>0.29349999999999998</v>
      </c>
      <c r="P6" s="221"/>
      <c r="Q6" s="221"/>
      <c r="R6" s="221"/>
      <c r="S6" s="221"/>
      <c r="T6" s="221"/>
      <c r="U6" s="221"/>
      <c r="V6" s="27"/>
      <c r="W6" s="28"/>
      <c r="X6" s="25"/>
      <c r="Y6" s="29"/>
      <c r="Z6" s="3"/>
    </row>
    <row r="7" spans="1:26" ht="15.75">
      <c r="A7" s="216" t="s">
        <v>176</v>
      </c>
      <c r="B7" s="201" t="s">
        <v>178</v>
      </c>
      <c r="C7" s="201" t="s">
        <v>165</v>
      </c>
      <c r="D7" s="201" t="s">
        <v>246</v>
      </c>
      <c r="E7" s="201" t="s">
        <v>247</v>
      </c>
      <c r="F7" s="201"/>
      <c r="G7" s="201" t="s">
        <v>248</v>
      </c>
      <c r="H7" s="201"/>
      <c r="I7" s="201" t="s">
        <v>249</v>
      </c>
      <c r="J7" s="201"/>
      <c r="K7" s="201" t="s">
        <v>281</v>
      </c>
      <c r="L7" s="201"/>
      <c r="M7" s="202" t="s">
        <v>250</v>
      </c>
      <c r="N7" s="202"/>
      <c r="O7" s="203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3"/>
    </row>
    <row r="8" spans="1:26" ht="15.75" customHeight="1">
      <c r="A8" s="217"/>
      <c r="B8" s="204"/>
      <c r="C8" s="204"/>
      <c r="D8" s="204"/>
      <c r="E8" s="60" t="s">
        <v>165</v>
      </c>
      <c r="F8" s="60" t="s">
        <v>251</v>
      </c>
      <c r="G8" s="60" t="s">
        <v>165</v>
      </c>
      <c r="H8" s="60" t="s">
        <v>251</v>
      </c>
      <c r="I8" s="60" t="s">
        <v>165</v>
      </c>
      <c r="J8" s="60" t="s">
        <v>251</v>
      </c>
      <c r="K8" s="60" t="s">
        <v>165</v>
      </c>
      <c r="L8" s="60" t="s">
        <v>251</v>
      </c>
      <c r="M8" s="60" t="s">
        <v>165</v>
      </c>
      <c r="N8" s="204" t="s">
        <v>251</v>
      </c>
      <c r="O8" s="205"/>
      <c r="P8" s="34"/>
      <c r="Q8" s="34"/>
      <c r="R8" s="34"/>
      <c r="S8" s="34"/>
      <c r="T8" s="34"/>
      <c r="U8" s="34"/>
      <c r="V8" s="34"/>
      <c r="W8" s="34"/>
      <c r="X8" s="34"/>
      <c r="Y8" s="34"/>
      <c r="Z8" s="3"/>
    </row>
    <row r="9" spans="1:26" ht="15.75" customHeight="1">
      <c r="A9" s="84" t="s">
        <v>186</v>
      </c>
      <c r="B9" s="206" t="s">
        <v>290</v>
      </c>
      <c r="C9" s="207"/>
      <c r="D9" s="207"/>
      <c r="E9" s="208"/>
      <c r="F9" s="208"/>
      <c r="G9" s="208"/>
      <c r="H9" s="208"/>
      <c r="I9" s="208"/>
      <c r="J9" s="208"/>
      <c r="K9" s="208"/>
      <c r="L9" s="208"/>
      <c r="M9" s="207"/>
      <c r="N9" s="207"/>
      <c r="O9" s="209"/>
      <c r="P9" s="35"/>
      <c r="Q9" s="35"/>
      <c r="R9" s="35"/>
      <c r="S9" s="35"/>
      <c r="T9" s="35"/>
      <c r="U9" s="35"/>
      <c r="V9" s="35"/>
      <c r="W9" s="35"/>
      <c r="X9" s="35"/>
      <c r="Y9" s="35"/>
    </row>
    <row r="10" spans="1:26" ht="15.75" customHeight="1">
      <c r="A10" s="84" t="s">
        <v>17</v>
      </c>
      <c r="B10" s="30" t="s">
        <v>20</v>
      </c>
      <c r="C10" s="74">
        <f>SUM(D10/$D$18)</f>
        <v>4.2691857459912518E-2</v>
      </c>
      <c r="D10" s="75">
        <f>'PLANILHA ORÇAMENTÁRIA '!J11</f>
        <v>17084.34</v>
      </c>
      <c r="E10" s="79">
        <v>1</v>
      </c>
      <c r="F10" s="77">
        <f>ROUND(SUM(D10*E10),2)</f>
        <v>17084.34</v>
      </c>
      <c r="G10" s="79"/>
      <c r="H10" s="77">
        <f>ROUND(SUM(D10*G10),2)</f>
        <v>0</v>
      </c>
      <c r="I10" s="79"/>
      <c r="J10" s="77">
        <f>ROUND(SUM(D10*I10),2)</f>
        <v>0</v>
      </c>
      <c r="K10" s="79"/>
      <c r="L10" s="77">
        <f>ROUND(SUM(D10*K10),2)</f>
        <v>0</v>
      </c>
      <c r="M10" s="78">
        <f>ROUND(SUM(E10+G10+I10+K10),2)</f>
        <v>1</v>
      </c>
      <c r="N10" s="193">
        <f>F10+H10+J10+L10</f>
        <v>17084.34</v>
      </c>
      <c r="O10" s="194"/>
      <c r="P10" s="35"/>
      <c r="Q10" s="35"/>
      <c r="R10" s="35"/>
      <c r="S10" s="35"/>
      <c r="T10" s="35"/>
      <c r="U10" s="35"/>
      <c r="V10" s="35"/>
      <c r="W10" s="35"/>
      <c r="X10" s="35"/>
      <c r="Y10" s="35"/>
    </row>
    <row r="11" spans="1:26" ht="47.25" customHeight="1">
      <c r="A11" s="84" t="s">
        <v>23</v>
      </c>
      <c r="B11" s="30" t="s">
        <v>104</v>
      </c>
      <c r="C11" s="74">
        <f t="shared" ref="C11:C17" si="0">SUM(D11/$D$18)</f>
        <v>1.9608126834574469E-2</v>
      </c>
      <c r="D11" s="75">
        <f>'PLANILHA ORÇAMENTÁRIA '!J17</f>
        <v>7846.74</v>
      </c>
      <c r="E11" s="79">
        <v>0.5</v>
      </c>
      <c r="F11" s="77">
        <f t="shared" ref="F11:F17" si="1">ROUND(SUM(D11*E11),2)</f>
        <v>3923.37</v>
      </c>
      <c r="G11" s="79"/>
      <c r="H11" s="77">
        <f t="shared" ref="H11:H17" si="2">ROUND(SUM(D11*G11),2)</f>
        <v>0</v>
      </c>
      <c r="I11" s="79"/>
      <c r="J11" s="77">
        <f t="shared" ref="J11:J17" si="3">ROUND(SUM(D11*I11),2)</f>
        <v>0</v>
      </c>
      <c r="K11" s="79">
        <v>0.5</v>
      </c>
      <c r="L11" s="77">
        <f t="shared" ref="L11:L17" si="4">ROUND(SUM(D11*K11),2)</f>
        <v>3923.37</v>
      </c>
      <c r="M11" s="78">
        <f t="shared" ref="M11:M17" si="5">ROUND(SUM(E11+G11+I11+K11),2)</f>
        <v>1</v>
      </c>
      <c r="N11" s="193">
        <f t="shared" ref="N11:N17" si="6">F11+H11+J11+L11</f>
        <v>7846.74</v>
      </c>
      <c r="O11" s="194"/>
      <c r="P11" s="35"/>
      <c r="Q11" s="35"/>
      <c r="R11" s="35"/>
      <c r="S11" s="35"/>
      <c r="T11" s="35"/>
      <c r="U11" s="35"/>
      <c r="V11" s="35"/>
      <c r="W11" s="35"/>
      <c r="X11" s="35"/>
      <c r="Y11" s="35"/>
    </row>
    <row r="12" spans="1:26" ht="15.75">
      <c r="A12" s="84" t="s">
        <v>27</v>
      </c>
      <c r="B12" s="30" t="s">
        <v>60</v>
      </c>
      <c r="C12" s="74">
        <f t="shared" si="0"/>
        <v>9.0641575828953103E-2</v>
      </c>
      <c r="D12" s="75">
        <f>'PLANILHA ORÇAMENTÁRIA '!J19</f>
        <v>36272.76</v>
      </c>
      <c r="E12" s="79">
        <v>0.25</v>
      </c>
      <c r="F12" s="77">
        <f t="shared" si="1"/>
        <v>9068.19</v>
      </c>
      <c r="G12" s="79">
        <v>0.25</v>
      </c>
      <c r="H12" s="77">
        <f t="shared" si="2"/>
        <v>9068.19</v>
      </c>
      <c r="I12" s="79">
        <v>0.25</v>
      </c>
      <c r="J12" s="77">
        <f t="shared" si="3"/>
        <v>9068.19</v>
      </c>
      <c r="K12" s="79">
        <v>0.25</v>
      </c>
      <c r="L12" s="77">
        <f t="shared" si="4"/>
        <v>9068.19</v>
      </c>
      <c r="M12" s="78">
        <f t="shared" si="5"/>
        <v>1</v>
      </c>
      <c r="N12" s="193">
        <f t="shared" si="6"/>
        <v>36272.76</v>
      </c>
      <c r="O12" s="194"/>
      <c r="P12" s="35"/>
      <c r="Q12" s="35"/>
      <c r="R12" s="35"/>
      <c r="S12" s="35"/>
      <c r="T12" s="35"/>
      <c r="U12" s="35"/>
      <c r="V12" s="35"/>
      <c r="W12" s="35"/>
      <c r="X12" s="35"/>
      <c r="Y12" s="35"/>
    </row>
    <row r="13" spans="1:26" ht="15.75">
      <c r="A13" s="84" t="s">
        <v>29</v>
      </c>
      <c r="B13" s="30" t="s">
        <v>59</v>
      </c>
      <c r="C13" s="74">
        <f t="shared" si="0"/>
        <v>2.6225058127265635E-2</v>
      </c>
      <c r="D13" s="75">
        <f>'PLANILHA ORÇAMENTÁRIA '!J21</f>
        <v>10494.69</v>
      </c>
      <c r="E13" s="79">
        <v>1</v>
      </c>
      <c r="F13" s="77">
        <f t="shared" si="1"/>
        <v>10494.69</v>
      </c>
      <c r="G13" s="79"/>
      <c r="H13" s="77">
        <f t="shared" si="2"/>
        <v>0</v>
      </c>
      <c r="I13" s="79"/>
      <c r="J13" s="77">
        <f t="shared" si="3"/>
        <v>0</v>
      </c>
      <c r="K13" s="79"/>
      <c r="L13" s="77">
        <f t="shared" si="4"/>
        <v>0</v>
      </c>
      <c r="M13" s="78">
        <f t="shared" si="5"/>
        <v>1</v>
      </c>
      <c r="N13" s="193">
        <f t="shared" si="6"/>
        <v>10494.69</v>
      </c>
      <c r="O13" s="194"/>
      <c r="P13" s="35"/>
      <c r="Q13" s="35"/>
      <c r="R13" s="35"/>
      <c r="S13" s="35"/>
      <c r="T13" s="35"/>
      <c r="U13" s="35"/>
      <c r="V13" s="35"/>
      <c r="W13" s="35"/>
      <c r="X13" s="35"/>
      <c r="Y13" s="35"/>
    </row>
    <row r="14" spans="1:26" ht="15.75">
      <c r="A14" s="84" t="s">
        <v>38</v>
      </c>
      <c r="B14" s="30" t="s">
        <v>210</v>
      </c>
      <c r="C14" s="74">
        <f t="shared" si="0"/>
        <v>0.18544872349913333</v>
      </c>
      <c r="D14" s="75">
        <f>'PLANILHA ORÇAMENTÁRIA '!J27</f>
        <v>74212.490000000005</v>
      </c>
      <c r="E14" s="79"/>
      <c r="F14" s="77">
        <f t="shared" si="1"/>
        <v>0</v>
      </c>
      <c r="G14" s="79">
        <v>1</v>
      </c>
      <c r="H14" s="77">
        <f t="shared" si="2"/>
        <v>74212.490000000005</v>
      </c>
      <c r="I14" s="79"/>
      <c r="J14" s="77">
        <f t="shared" si="3"/>
        <v>0</v>
      </c>
      <c r="K14" s="79"/>
      <c r="L14" s="77">
        <f t="shared" si="4"/>
        <v>0</v>
      </c>
      <c r="M14" s="78">
        <f t="shared" si="5"/>
        <v>1</v>
      </c>
      <c r="N14" s="193">
        <f t="shared" si="6"/>
        <v>74212.490000000005</v>
      </c>
      <c r="O14" s="194"/>
      <c r="P14" s="35"/>
      <c r="Q14" s="35"/>
      <c r="R14" s="35"/>
      <c r="S14" s="35"/>
      <c r="T14" s="35"/>
      <c r="U14" s="35"/>
      <c r="V14" s="35"/>
      <c r="W14" s="35"/>
      <c r="X14" s="35"/>
      <c r="Y14" s="35"/>
    </row>
    <row r="15" spans="1:26" ht="15.75">
      <c r="A15" s="84" t="s">
        <v>44</v>
      </c>
      <c r="B15" s="30" t="s">
        <v>62</v>
      </c>
      <c r="C15" s="74">
        <f t="shared" si="0"/>
        <v>0.18387422395461819</v>
      </c>
      <c r="D15" s="75">
        <f>'PLANILHA ORÇAMENTÁRIA '!J43</f>
        <v>73582.41</v>
      </c>
      <c r="E15" s="80"/>
      <c r="F15" s="77">
        <f t="shared" si="1"/>
        <v>0</v>
      </c>
      <c r="G15" s="80">
        <v>0.5</v>
      </c>
      <c r="H15" s="77">
        <f t="shared" si="2"/>
        <v>36791.21</v>
      </c>
      <c r="I15" s="80">
        <v>0.5</v>
      </c>
      <c r="J15" s="77">
        <f t="shared" si="3"/>
        <v>36791.21</v>
      </c>
      <c r="K15" s="80"/>
      <c r="L15" s="77">
        <f t="shared" si="4"/>
        <v>0</v>
      </c>
      <c r="M15" s="78">
        <f t="shared" si="5"/>
        <v>1</v>
      </c>
      <c r="N15" s="193">
        <f t="shared" si="6"/>
        <v>73582.42</v>
      </c>
      <c r="O15" s="194"/>
      <c r="P15" s="35"/>
      <c r="Q15" s="35"/>
      <c r="R15" s="35"/>
      <c r="S15" s="35"/>
      <c r="T15" s="35"/>
      <c r="U15" s="35"/>
      <c r="V15" s="35"/>
      <c r="W15" s="35"/>
      <c r="X15" s="35"/>
      <c r="Y15" s="35"/>
    </row>
    <row r="16" spans="1:26" ht="15.75">
      <c r="A16" s="84" t="s">
        <v>50</v>
      </c>
      <c r="B16" s="30" t="s">
        <v>228</v>
      </c>
      <c r="C16" s="74">
        <f t="shared" si="0"/>
        <v>0.44966570496950165</v>
      </c>
      <c r="D16" s="75">
        <f>'PLANILHA ORÇAMENTÁRIA '!J53</f>
        <v>179946.3</v>
      </c>
      <c r="E16" s="80"/>
      <c r="F16" s="77">
        <f t="shared" si="1"/>
        <v>0</v>
      </c>
      <c r="G16" s="80"/>
      <c r="H16" s="77">
        <f t="shared" si="2"/>
        <v>0</v>
      </c>
      <c r="I16" s="80">
        <v>0.5</v>
      </c>
      <c r="J16" s="77">
        <f t="shared" si="3"/>
        <v>89973.15</v>
      </c>
      <c r="K16" s="80">
        <v>0.5</v>
      </c>
      <c r="L16" s="77">
        <f t="shared" si="4"/>
        <v>89973.15</v>
      </c>
      <c r="M16" s="78">
        <f t="shared" si="5"/>
        <v>1</v>
      </c>
      <c r="N16" s="193">
        <f t="shared" si="6"/>
        <v>179946.3</v>
      </c>
      <c r="O16" s="194"/>
      <c r="P16" s="35"/>
      <c r="Q16" s="35"/>
      <c r="R16" s="35"/>
      <c r="S16" s="35"/>
      <c r="T16" s="35"/>
      <c r="U16" s="35"/>
      <c r="V16" s="35"/>
      <c r="W16" s="35"/>
      <c r="X16" s="35"/>
      <c r="Y16" s="35"/>
    </row>
    <row r="17" spans="1:25" ht="15.75">
      <c r="A17" s="84" t="s">
        <v>51</v>
      </c>
      <c r="B17" s="30" t="s">
        <v>238</v>
      </c>
      <c r="C17" s="74">
        <f t="shared" si="0"/>
        <v>1.8447293260410774E-3</v>
      </c>
      <c r="D17" s="75">
        <f>'PLANILHA ORÇAMENTÁRIA '!J63</f>
        <v>738.22</v>
      </c>
      <c r="E17" s="80"/>
      <c r="F17" s="77">
        <f t="shared" si="1"/>
        <v>0</v>
      </c>
      <c r="G17" s="80"/>
      <c r="H17" s="77">
        <f t="shared" si="2"/>
        <v>0</v>
      </c>
      <c r="I17" s="80"/>
      <c r="J17" s="77">
        <f t="shared" si="3"/>
        <v>0</v>
      </c>
      <c r="K17" s="80">
        <v>1</v>
      </c>
      <c r="L17" s="77">
        <f t="shared" si="4"/>
        <v>738.22</v>
      </c>
      <c r="M17" s="78">
        <f t="shared" si="5"/>
        <v>1</v>
      </c>
      <c r="N17" s="193">
        <f t="shared" si="6"/>
        <v>738.22</v>
      </c>
      <c r="O17" s="194"/>
      <c r="P17" s="35"/>
      <c r="Q17" s="35"/>
      <c r="R17" s="35"/>
      <c r="S17" s="35"/>
      <c r="T17" s="35"/>
      <c r="U17" s="35"/>
      <c r="V17" s="35"/>
      <c r="W17" s="35"/>
      <c r="X17" s="35"/>
      <c r="Y17" s="35"/>
    </row>
    <row r="18" spans="1:25" ht="15.75">
      <c r="A18" s="85"/>
      <c r="B18" s="47"/>
      <c r="C18" s="199">
        <f>ROUND(SUM(C10:C17),2)</f>
        <v>1</v>
      </c>
      <c r="D18" s="197">
        <f>ROUND(SUM(D10:D17),2)</f>
        <v>400177.95</v>
      </c>
      <c r="E18" s="81">
        <f>F18/$D$18</f>
        <v>0.10138137296170364</v>
      </c>
      <c r="F18" s="76">
        <f>ROUND(SUM(F10:F17),2)</f>
        <v>40570.589999999997</v>
      </c>
      <c r="G18" s="81">
        <f>H18/$D$18</f>
        <v>0.30004624192812224</v>
      </c>
      <c r="H18" s="76">
        <f>ROUND(SUM(H10:H17),2)</f>
        <v>120071.89</v>
      </c>
      <c r="I18" s="81">
        <f>J18/$D$18</f>
        <v>0.33943037091373973</v>
      </c>
      <c r="J18" s="76">
        <f>ROUND(SUM(J10:J17),2)</f>
        <v>135832.54999999999</v>
      </c>
      <c r="K18" s="81">
        <f>L18/$D$18</f>
        <v>0.25914203918531742</v>
      </c>
      <c r="L18" s="76">
        <f>ROUND(SUM(L10:L17),2)</f>
        <v>103702.93</v>
      </c>
      <c r="M18" s="46"/>
      <c r="N18" s="195">
        <f>SUM(N10:O17)</f>
        <v>400177.95999999996</v>
      </c>
      <c r="O18" s="196"/>
      <c r="P18" s="35"/>
      <c r="Q18" s="35"/>
      <c r="R18" s="35"/>
      <c r="S18" s="35"/>
      <c r="T18" s="35"/>
      <c r="U18" s="35"/>
      <c r="V18" s="35"/>
      <c r="W18" s="35"/>
      <c r="X18" s="35"/>
      <c r="Y18" s="35"/>
    </row>
    <row r="19" spans="1:25" ht="15.75">
      <c r="A19" s="86"/>
      <c r="B19" s="50"/>
      <c r="C19" s="200"/>
      <c r="D19" s="198"/>
      <c r="E19" s="82">
        <f>SUM(E18)</f>
        <v>0.10138137296170364</v>
      </c>
      <c r="F19" s="48">
        <f>F18</f>
        <v>40570.589999999997</v>
      </c>
      <c r="G19" s="82">
        <f>SUM(G18+E19)</f>
        <v>0.40142761488982587</v>
      </c>
      <c r="H19" s="48">
        <f>H18+F19</f>
        <v>160642.47999999998</v>
      </c>
      <c r="I19" s="82">
        <f>SUM(I18+G19)</f>
        <v>0.74085798580356554</v>
      </c>
      <c r="J19" s="48">
        <f>J18+H19</f>
        <v>296475.02999999997</v>
      </c>
      <c r="K19" s="82">
        <f>SUM(K18+I19)</f>
        <v>1.000000024988883</v>
      </c>
      <c r="L19" s="48">
        <v>386363.34</v>
      </c>
      <c r="M19" s="49"/>
      <c r="N19" s="195"/>
      <c r="O19" s="196"/>
      <c r="P19" s="35"/>
      <c r="Q19" s="35"/>
      <c r="R19" s="35"/>
      <c r="S19" s="35"/>
      <c r="T19" s="35"/>
      <c r="U19" s="35"/>
      <c r="V19" s="35"/>
      <c r="W19" s="35"/>
      <c r="X19" s="35"/>
      <c r="Y19" s="35"/>
    </row>
    <row r="20" spans="1:25" ht="15.75">
      <c r="A20" s="87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88"/>
      <c r="P20" s="35"/>
      <c r="Q20" s="35"/>
      <c r="R20" s="35"/>
      <c r="S20" s="35"/>
      <c r="T20" s="35"/>
      <c r="U20" s="35"/>
      <c r="V20" s="35"/>
      <c r="W20" s="35"/>
      <c r="X20" s="35"/>
      <c r="Y20" s="35"/>
    </row>
    <row r="21" spans="1:25" ht="15.75">
      <c r="A21" s="87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88"/>
      <c r="P21" s="35"/>
      <c r="Q21" s="35"/>
      <c r="R21" s="35"/>
      <c r="S21" s="35"/>
      <c r="T21" s="35"/>
      <c r="U21" s="35"/>
      <c r="V21" s="35"/>
      <c r="W21" s="35"/>
      <c r="X21" s="35"/>
      <c r="Y21" s="35"/>
    </row>
    <row r="22" spans="1:25" ht="15.75">
      <c r="A22" s="87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88"/>
      <c r="P22" s="35"/>
      <c r="Q22" s="35"/>
      <c r="R22" s="35"/>
      <c r="S22" s="35"/>
      <c r="T22" s="35"/>
      <c r="U22" s="35"/>
      <c r="V22" s="35"/>
      <c r="W22" s="35"/>
      <c r="X22" s="35"/>
      <c r="Y22" s="35"/>
    </row>
    <row r="23" spans="1:25" ht="15.75">
      <c r="A23" s="89"/>
      <c r="B23" s="52"/>
      <c r="C23" s="52"/>
      <c r="D23" s="52"/>
      <c r="E23" s="52"/>
      <c r="F23" s="90"/>
      <c r="G23" s="90"/>
      <c r="H23" s="90"/>
      <c r="I23" s="52"/>
      <c r="J23" s="52"/>
      <c r="K23" s="52"/>
      <c r="L23" s="52"/>
      <c r="M23" s="52"/>
      <c r="N23" s="52"/>
      <c r="O23" s="91"/>
    </row>
    <row r="24" spans="1:25" ht="15.75">
      <c r="A24" s="89"/>
      <c r="B24" s="52"/>
      <c r="C24" s="52"/>
      <c r="D24" s="52"/>
      <c r="E24" s="52"/>
      <c r="F24" s="90"/>
      <c r="G24" s="90"/>
      <c r="H24" s="90"/>
      <c r="I24" s="52"/>
      <c r="J24" s="52"/>
      <c r="K24" s="52"/>
      <c r="L24" s="52"/>
      <c r="M24" s="52"/>
      <c r="N24" s="3"/>
      <c r="O24" s="91"/>
    </row>
    <row r="25" spans="1:25" ht="15.75">
      <c r="A25" s="89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91"/>
    </row>
    <row r="26" spans="1:25" ht="15.75">
      <c r="A26" s="89"/>
      <c r="B26" s="115" t="s">
        <v>56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91"/>
    </row>
    <row r="27" spans="1:25" ht="15.75">
      <c r="A27" s="89"/>
      <c r="B27" s="114" t="s">
        <v>57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91"/>
    </row>
    <row r="28" spans="1:25" ht="15.75">
      <c r="A28" s="89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91"/>
    </row>
    <row r="29" spans="1:25" ht="15.75">
      <c r="A29" s="89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91"/>
    </row>
    <row r="30" spans="1:25" ht="15.75">
      <c r="A30" s="89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91"/>
    </row>
    <row r="31" spans="1:25" ht="15.75">
      <c r="A31" s="89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91"/>
    </row>
    <row r="32" spans="1:25" ht="15.75">
      <c r="A32" s="89"/>
      <c r="B32" s="52"/>
      <c r="C32" s="52"/>
      <c r="D32" s="52"/>
      <c r="E32" s="34"/>
      <c r="F32" s="34"/>
      <c r="G32" s="34"/>
      <c r="H32" s="34"/>
      <c r="I32" s="34"/>
      <c r="J32" s="34"/>
      <c r="K32" s="52"/>
      <c r="L32" s="52"/>
      <c r="M32" s="52"/>
      <c r="N32" s="52"/>
      <c r="O32" s="91"/>
    </row>
    <row r="33" spans="1:15" ht="15.75">
      <c r="A33" s="89"/>
      <c r="B33" s="52"/>
      <c r="C33" s="52"/>
      <c r="D33" s="52"/>
      <c r="E33" s="34"/>
      <c r="F33" s="34"/>
      <c r="G33" s="34"/>
      <c r="H33" s="34"/>
      <c r="I33" s="34"/>
      <c r="J33" s="34"/>
      <c r="K33" s="52"/>
      <c r="L33" s="52"/>
      <c r="M33" s="52"/>
      <c r="N33" s="52"/>
      <c r="O33" s="91"/>
    </row>
    <row r="34" spans="1:15" ht="15.75">
      <c r="A34" s="89"/>
      <c r="B34" s="115" t="s">
        <v>291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91"/>
    </row>
    <row r="35" spans="1:15" ht="15.75">
      <c r="A35" s="89"/>
      <c r="B35" s="114" t="s">
        <v>270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91"/>
    </row>
    <row r="36" spans="1:1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92"/>
    </row>
    <row r="37" spans="1:1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92"/>
    </row>
    <row r="38" spans="1:1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92"/>
    </row>
    <row r="39" spans="1:1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92"/>
    </row>
    <row r="40" spans="1:15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92"/>
    </row>
    <row r="41" spans="1:1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92"/>
    </row>
    <row r="42" spans="1:15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92"/>
    </row>
    <row r="43" spans="1:15" ht="15.75" thickBot="1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93"/>
    </row>
  </sheetData>
  <mergeCells count="45">
    <mergeCell ref="A3:K3"/>
    <mergeCell ref="P5:U5"/>
    <mergeCell ref="P6:U6"/>
    <mergeCell ref="P7:Y7"/>
    <mergeCell ref="A1:O1"/>
    <mergeCell ref="A2:O2"/>
    <mergeCell ref="N3:O3"/>
    <mergeCell ref="L3:M3"/>
    <mergeCell ref="L4:O4"/>
    <mergeCell ref="P1:Y1"/>
    <mergeCell ref="P2:Y2"/>
    <mergeCell ref="P3:U3"/>
    <mergeCell ref="V3:W3"/>
    <mergeCell ref="X3:Y3"/>
    <mergeCell ref="P4:U4"/>
    <mergeCell ref="V4:Y4"/>
    <mergeCell ref="A6:K6"/>
    <mergeCell ref="A5:K5"/>
    <mergeCell ref="A4:K4"/>
    <mergeCell ref="N10:O10"/>
    <mergeCell ref="N11:O11"/>
    <mergeCell ref="A7:A8"/>
    <mergeCell ref="B7:B8"/>
    <mergeCell ref="C7:C8"/>
    <mergeCell ref="D7:D8"/>
    <mergeCell ref="E7:F7"/>
    <mergeCell ref="N12:O12"/>
    <mergeCell ref="N13:O13"/>
    <mergeCell ref="N15:O15"/>
    <mergeCell ref="I7:J7"/>
    <mergeCell ref="K7:L7"/>
    <mergeCell ref="M7:O7"/>
    <mergeCell ref="N8:O8"/>
    <mergeCell ref="B9:O9"/>
    <mergeCell ref="G7:H7"/>
    <mergeCell ref="B26:N26"/>
    <mergeCell ref="B27:N27"/>
    <mergeCell ref="B34:N34"/>
    <mergeCell ref="B35:N35"/>
    <mergeCell ref="N14:O14"/>
    <mergeCell ref="N16:O16"/>
    <mergeCell ref="N17:O17"/>
    <mergeCell ref="N18:O19"/>
    <mergeCell ref="D18:D19"/>
    <mergeCell ref="C18:C19"/>
  </mergeCells>
  <phoneticPr fontId="15" type="noConversion"/>
  <printOptions horizontalCentered="1"/>
  <pageMargins left="0.25" right="0.25" top="0.75" bottom="0.75" header="0.3" footer="0.3"/>
  <pageSetup paperSize="9" scale="55" fitToHeight="0" orientation="landscape" r:id="rId1"/>
  <headerFooter>
    <oddFooter>&amp;RPágina &amp;P de &amp;N</oddFoot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F192D-EC96-4239-8E7F-D705B25A49FF}">
  <dimension ref="A1:G41"/>
  <sheetViews>
    <sheetView tabSelected="1" view="pageBreakPreview" zoomScaleNormal="100" zoomScaleSheetLayoutView="100" workbookViewId="0">
      <selection activeCell="B46" sqref="B46"/>
    </sheetView>
  </sheetViews>
  <sheetFormatPr defaultRowHeight="15"/>
  <cols>
    <col min="1" max="1" width="21.28515625" customWidth="1"/>
    <col min="2" max="2" width="59.28515625" customWidth="1"/>
    <col min="3" max="3" width="18.28515625" customWidth="1"/>
    <col min="4" max="4" width="16.42578125" customWidth="1"/>
    <col min="5" max="5" width="17.28515625" customWidth="1"/>
    <col min="6" max="6" width="17.85546875" customWidth="1"/>
    <col min="7" max="7" width="15.28515625" customWidth="1"/>
  </cols>
  <sheetData>
    <row r="1" spans="1:7" ht="45" customHeight="1">
      <c r="A1" s="254" t="s">
        <v>296</v>
      </c>
      <c r="B1" s="255"/>
      <c r="C1" s="255"/>
      <c r="D1" s="255"/>
      <c r="E1" s="255"/>
      <c r="F1" s="255"/>
      <c r="G1" s="256"/>
    </row>
    <row r="2" spans="1:7" ht="15.75" customHeight="1">
      <c r="A2" s="241" t="s">
        <v>265</v>
      </c>
      <c r="B2" s="239"/>
      <c r="C2" s="239"/>
      <c r="D2" s="239"/>
      <c r="E2" s="239"/>
      <c r="F2" s="239"/>
      <c r="G2" s="240"/>
    </row>
    <row r="3" spans="1:7" ht="31.5" customHeight="1">
      <c r="A3" s="218" t="s">
        <v>278</v>
      </c>
      <c r="B3" s="219"/>
      <c r="C3" s="220"/>
      <c r="D3" s="101" t="s">
        <v>112</v>
      </c>
      <c r="E3" s="101"/>
      <c r="F3" s="138">
        <f ca="1">TODAY()</f>
        <v>45894</v>
      </c>
      <c r="G3" s="139"/>
    </row>
    <row r="4" spans="1:7" ht="15.75" customHeight="1">
      <c r="A4" s="213" t="s">
        <v>293</v>
      </c>
      <c r="B4" s="214"/>
      <c r="C4" s="215"/>
      <c r="D4" s="238" t="s">
        <v>113</v>
      </c>
      <c r="E4" s="239"/>
      <c r="F4" s="239"/>
      <c r="G4" s="240"/>
    </row>
    <row r="5" spans="1:7" ht="22.5" customHeight="1">
      <c r="A5" s="210" t="s">
        <v>269</v>
      </c>
      <c r="B5" s="211"/>
      <c r="C5" s="212"/>
      <c r="D5" s="58" t="s">
        <v>170</v>
      </c>
      <c r="E5" s="9" t="s">
        <v>171</v>
      </c>
      <c r="F5" s="58" t="s">
        <v>172</v>
      </c>
      <c r="G5" s="10" t="s">
        <v>173</v>
      </c>
    </row>
    <row r="6" spans="1:7" ht="31.5">
      <c r="A6" s="210" t="s">
        <v>174</v>
      </c>
      <c r="B6" s="211"/>
      <c r="C6" s="212"/>
      <c r="D6" s="59" t="s">
        <v>175</v>
      </c>
      <c r="E6" s="12">
        <v>0.03</v>
      </c>
      <c r="F6" s="58" t="s">
        <v>13</v>
      </c>
      <c r="G6" s="45">
        <v>0.29349999999999998</v>
      </c>
    </row>
    <row r="7" spans="1:7" ht="15.75">
      <c r="A7" s="241"/>
      <c r="B7" s="239"/>
      <c r="C7" s="239"/>
      <c r="D7" s="239"/>
      <c r="E7" s="239"/>
      <c r="F7" s="239"/>
      <c r="G7" s="240"/>
    </row>
    <row r="8" spans="1:7" ht="15.75">
      <c r="A8" s="251" t="s">
        <v>297</v>
      </c>
      <c r="B8" s="252"/>
      <c r="C8" s="252"/>
      <c r="D8" s="252"/>
      <c r="E8" s="252"/>
      <c r="F8" s="252"/>
      <c r="G8" s="253"/>
    </row>
    <row r="9" spans="1:7" ht="31.5">
      <c r="A9" s="243" t="s">
        <v>298</v>
      </c>
      <c r="B9" s="244"/>
      <c r="C9" s="96" t="s">
        <v>179</v>
      </c>
      <c r="D9" s="96" t="s">
        <v>180</v>
      </c>
      <c r="E9" s="96" t="s">
        <v>299</v>
      </c>
      <c r="F9" s="96" t="s">
        <v>300</v>
      </c>
      <c r="G9" s="102" t="s">
        <v>14</v>
      </c>
    </row>
    <row r="10" spans="1:7" ht="15.75">
      <c r="A10" s="103" t="s">
        <v>301</v>
      </c>
      <c r="B10" s="98" t="s">
        <v>302</v>
      </c>
      <c r="C10" s="97" t="s">
        <v>188</v>
      </c>
      <c r="D10" s="97" t="s">
        <v>303</v>
      </c>
      <c r="E10" s="99">
        <v>0.45</v>
      </c>
      <c r="F10" s="100">
        <v>10053.67</v>
      </c>
      <c r="G10" s="104">
        <v>4524.1499999999996</v>
      </c>
    </row>
    <row r="11" spans="1:7" ht="15.75">
      <c r="A11" s="67"/>
      <c r="B11" s="68"/>
      <c r="C11" s="68"/>
      <c r="D11" s="68"/>
      <c r="E11" s="242" t="s">
        <v>304</v>
      </c>
      <c r="F11" s="242"/>
      <c r="G11" s="105">
        <v>4524.1499999999996</v>
      </c>
    </row>
    <row r="12" spans="1:7" ht="31.5">
      <c r="A12" s="243" t="s">
        <v>305</v>
      </c>
      <c r="B12" s="244"/>
      <c r="C12" s="96" t="s">
        <v>179</v>
      </c>
      <c r="D12" s="96" t="s">
        <v>180</v>
      </c>
      <c r="E12" s="96" t="s">
        <v>299</v>
      </c>
      <c r="F12" s="96" t="s">
        <v>300</v>
      </c>
      <c r="G12" s="102" t="s">
        <v>14</v>
      </c>
    </row>
    <row r="13" spans="1:7" ht="31.5">
      <c r="A13" s="103" t="s">
        <v>306</v>
      </c>
      <c r="B13" s="98" t="s">
        <v>307</v>
      </c>
      <c r="C13" s="97" t="s">
        <v>188</v>
      </c>
      <c r="D13" s="97" t="s">
        <v>303</v>
      </c>
      <c r="E13" s="99">
        <v>0.12</v>
      </c>
      <c r="F13" s="100">
        <v>20720.28</v>
      </c>
      <c r="G13" s="104">
        <v>2486.4299999999998</v>
      </c>
    </row>
    <row r="14" spans="1:7" ht="15.75">
      <c r="A14" s="67"/>
      <c r="B14" s="68"/>
      <c r="C14" s="68"/>
      <c r="D14" s="68"/>
      <c r="E14" s="242" t="s">
        <v>308</v>
      </c>
      <c r="F14" s="242"/>
      <c r="G14" s="105">
        <v>2486.4299999999998</v>
      </c>
    </row>
    <row r="15" spans="1:7" ht="15.75">
      <c r="A15" s="67"/>
      <c r="B15" s="68"/>
      <c r="C15" s="68"/>
      <c r="D15" s="68"/>
      <c r="E15" s="245" t="s">
        <v>309</v>
      </c>
      <c r="F15" s="245"/>
      <c r="G15" s="106">
        <v>7010.58</v>
      </c>
    </row>
    <row r="16" spans="1:7" ht="15.75">
      <c r="A16" s="67"/>
      <c r="B16" s="68"/>
      <c r="C16" s="68"/>
      <c r="D16" s="68"/>
      <c r="E16" s="246"/>
      <c r="F16" s="246"/>
      <c r="G16" s="247"/>
    </row>
    <row r="17" spans="1:7" ht="15.75">
      <c r="A17" s="248" t="s">
        <v>310</v>
      </c>
      <c r="B17" s="249"/>
      <c r="C17" s="249"/>
      <c r="D17" s="249"/>
      <c r="E17" s="249"/>
      <c r="F17" s="249"/>
      <c r="G17" s="250"/>
    </row>
    <row r="18" spans="1:7" ht="31.5">
      <c r="A18" s="243" t="s">
        <v>311</v>
      </c>
      <c r="B18" s="244"/>
      <c r="C18" s="96" t="s">
        <v>179</v>
      </c>
      <c r="D18" s="96" t="s">
        <v>180</v>
      </c>
      <c r="E18" s="96" t="s">
        <v>299</v>
      </c>
      <c r="F18" s="96" t="s">
        <v>300</v>
      </c>
      <c r="G18" s="102" t="s">
        <v>14</v>
      </c>
    </row>
    <row r="19" spans="1:7" ht="31.5">
      <c r="A19" s="103" t="s">
        <v>312</v>
      </c>
      <c r="B19" s="98" t="s">
        <v>313</v>
      </c>
      <c r="C19" s="97" t="s">
        <v>188</v>
      </c>
      <c r="D19" s="97" t="s">
        <v>201</v>
      </c>
      <c r="E19" s="99">
        <v>0.1</v>
      </c>
      <c r="F19" s="100">
        <v>275.23</v>
      </c>
      <c r="G19" s="104">
        <v>27.52</v>
      </c>
    </row>
    <row r="20" spans="1:7" ht="15.75">
      <c r="A20" s="67"/>
      <c r="B20" s="68"/>
      <c r="C20" s="68"/>
      <c r="D20" s="68"/>
      <c r="E20" s="242" t="s">
        <v>314</v>
      </c>
      <c r="F20" s="242"/>
      <c r="G20" s="105">
        <v>27.52</v>
      </c>
    </row>
    <row r="21" spans="1:7" ht="31.5">
      <c r="A21" s="243" t="s">
        <v>305</v>
      </c>
      <c r="B21" s="244"/>
      <c r="C21" s="96" t="s">
        <v>179</v>
      </c>
      <c r="D21" s="96" t="s">
        <v>180</v>
      </c>
      <c r="E21" s="96" t="s">
        <v>299</v>
      </c>
      <c r="F21" s="96" t="s">
        <v>300</v>
      </c>
      <c r="G21" s="102" t="s">
        <v>14</v>
      </c>
    </row>
    <row r="22" spans="1:7" ht="15.75">
      <c r="A22" s="103" t="s">
        <v>315</v>
      </c>
      <c r="B22" s="98" t="s">
        <v>316</v>
      </c>
      <c r="C22" s="97" t="s">
        <v>188</v>
      </c>
      <c r="D22" s="97" t="s">
        <v>317</v>
      </c>
      <c r="E22" s="99">
        <v>5.04</v>
      </c>
      <c r="F22" s="100">
        <v>20.92</v>
      </c>
      <c r="G22" s="104">
        <v>105.44</v>
      </c>
    </row>
    <row r="23" spans="1:7" ht="15.75">
      <c r="A23" s="67"/>
      <c r="B23" s="68"/>
      <c r="C23" s="68"/>
      <c r="D23" s="68"/>
      <c r="E23" s="242" t="s">
        <v>308</v>
      </c>
      <c r="F23" s="242"/>
      <c r="G23" s="105">
        <v>105.44</v>
      </c>
    </row>
    <row r="24" spans="1:7" ht="31.5">
      <c r="A24" s="243" t="s">
        <v>318</v>
      </c>
      <c r="B24" s="244"/>
      <c r="C24" s="96" t="s">
        <v>179</v>
      </c>
      <c r="D24" s="96" t="s">
        <v>180</v>
      </c>
      <c r="E24" s="96" t="s">
        <v>299</v>
      </c>
      <c r="F24" s="96" t="s">
        <v>300</v>
      </c>
      <c r="G24" s="102" t="s">
        <v>14</v>
      </c>
    </row>
    <row r="25" spans="1:7" ht="63">
      <c r="A25" s="103" t="s">
        <v>319</v>
      </c>
      <c r="B25" s="98" t="s">
        <v>320</v>
      </c>
      <c r="C25" s="97" t="s">
        <v>188</v>
      </c>
      <c r="D25" s="97" t="s">
        <v>218</v>
      </c>
      <c r="E25" s="99">
        <v>18.98</v>
      </c>
      <c r="F25" s="100">
        <v>9.08</v>
      </c>
      <c r="G25" s="104">
        <v>172.34</v>
      </c>
    </row>
    <row r="26" spans="1:7" ht="63">
      <c r="A26" s="103" t="s">
        <v>222</v>
      </c>
      <c r="B26" s="98" t="s">
        <v>153</v>
      </c>
      <c r="C26" s="97" t="s">
        <v>188</v>
      </c>
      <c r="D26" s="97" t="s">
        <v>201</v>
      </c>
      <c r="E26" s="99">
        <v>0.08</v>
      </c>
      <c r="F26" s="100">
        <v>567.32000000000005</v>
      </c>
      <c r="G26" s="104">
        <v>45.39</v>
      </c>
    </row>
    <row r="27" spans="1:7" ht="47.25">
      <c r="A27" s="103" t="s">
        <v>321</v>
      </c>
      <c r="B27" s="98" t="s">
        <v>322</v>
      </c>
      <c r="C27" s="97" t="s">
        <v>188</v>
      </c>
      <c r="D27" s="97" t="s">
        <v>189</v>
      </c>
      <c r="E27" s="99">
        <v>2</v>
      </c>
      <c r="F27" s="100">
        <v>55.89</v>
      </c>
      <c r="G27" s="104">
        <v>111.78</v>
      </c>
    </row>
    <row r="28" spans="1:7" ht="47.25">
      <c r="A28" s="103" t="s">
        <v>223</v>
      </c>
      <c r="B28" s="98" t="s">
        <v>150</v>
      </c>
      <c r="C28" s="97" t="s">
        <v>188</v>
      </c>
      <c r="D28" s="97" t="s">
        <v>201</v>
      </c>
      <c r="E28" s="99">
        <v>0.08</v>
      </c>
      <c r="F28" s="100">
        <v>296.19</v>
      </c>
      <c r="G28" s="104">
        <v>23.7</v>
      </c>
    </row>
    <row r="29" spans="1:7" ht="15.75">
      <c r="A29" s="67"/>
      <c r="B29" s="68"/>
      <c r="C29" s="68"/>
      <c r="D29" s="68"/>
      <c r="E29" s="242" t="s">
        <v>323</v>
      </c>
      <c r="F29" s="242"/>
      <c r="G29" s="105">
        <v>353.21</v>
      </c>
    </row>
    <row r="30" spans="1:7" ht="15.75">
      <c r="A30" s="67"/>
      <c r="B30" s="68"/>
      <c r="C30" s="68"/>
      <c r="D30" s="68"/>
      <c r="E30" s="245" t="s">
        <v>309</v>
      </c>
      <c r="F30" s="245"/>
      <c r="G30" s="106">
        <v>486.17</v>
      </c>
    </row>
    <row r="31" spans="1:7" ht="15.75">
      <c r="A31" s="89"/>
      <c r="B31" s="52"/>
      <c r="C31" s="52"/>
      <c r="D31" s="52"/>
      <c r="E31" s="52"/>
      <c r="F31" s="52"/>
      <c r="G31" s="91"/>
    </row>
    <row r="32" spans="1:7" ht="15.75">
      <c r="A32" s="89"/>
      <c r="B32" s="52"/>
      <c r="C32" s="52"/>
      <c r="D32" s="52"/>
      <c r="E32" s="52"/>
      <c r="F32" s="52"/>
      <c r="G32" s="91"/>
    </row>
    <row r="33" spans="1:7" ht="15.75">
      <c r="A33" s="89"/>
      <c r="B33" s="52"/>
      <c r="C33" s="52"/>
      <c r="D33" s="52"/>
      <c r="E33" s="52"/>
      <c r="F33" s="52"/>
      <c r="G33" s="91"/>
    </row>
    <row r="34" spans="1:7" ht="15.75">
      <c r="A34" s="89"/>
      <c r="B34" s="52"/>
      <c r="C34" s="52"/>
      <c r="D34" s="52"/>
      <c r="E34" s="52"/>
      <c r="F34" s="52"/>
      <c r="G34" s="91"/>
    </row>
    <row r="35" spans="1:7" ht="15.75">
      <c r="A35" s="89"/>
      <c r="B35" s="52"/>
      <c r="C35" s="52"/>
      <c r="D35" s="52"/>
      <c r="E35" s="52"/>
      <c r="F35" s="52"/>
      <c r="G35" s="91"/>
    </row>
    <row r="36" spans="1:7" ht="15.75">
      <c r="A36" s="89"/>
      <c r="B36" s="52"/>
      <c r="C36" s="52"/>
      <c r="D36" s="52"/>
      <c r="E36" s="52"/>
      <c r="F36" s="52"/>
      <c r="G36" s="91"/>
    </row>
    <row r="37" spans="1:7" ht="15.75">
      <c r="A37" s="89"/>
      <c r="B37" s="111" t="s">
        <v>66</v>
      </c>
      <c r="C37" s="110"/>
      <c r="D37" s="236" t="s">
        <v>324</v>
      </c>
      <c r="E37" s="236"/>
      <c r="F37" s="236"/>
      <c r="G37" s="91"/>
    </row>
    <row r="38" spans="1:7" ht="15.75">
      <c r="A38" s="89"/>
      <c r="B38" s="110" t="s">
        <v>57</v>
      </c>
      <c r="C38" s="110"/>
      <c r="D38" s="237" t="s">
        <v>270</v>
      </c>
      <c r="E38" s="237"/>
      <c r="F38" s="237"/>
      <c r="G38" s="91"/>
    </row>
    <row r="39" spans="1:7" ht="15.75">
      <c r="A39" s="89"/>
      <c r="B39" s="52"/>
      <c r="C39" s="52"/>
      <c r="D39" s="52"/>
      <c r="E39" s="52"/>
      <c r="F39" s="52"/>
      <c r="G39" s="91"/>
    </row>
    <row r="40" spans="1:7" ht="16.5" thickBot="1">
      <c r="A40" s="107"/>
      <c r="B40" s="108"/>
      <c r="C40" s="108"/>
      <c r="D40" s="108"/>
      <c r="E40" s="108"/>
      <c r="F40" s="108"/>
      <c r="G40" s="109"/>
    </row>
    <row r="41" spans="1:7" ht="15.75">
      <c r="A41" s="51"/>
      <c r="B41" s="51"/>
      <c r="C41" s="51"/>
      <c r="D41" s="51"/>
      <c r="E41" s="51"/>
      <c r="F41" s="51"/>
      <c r="G41" s="51"/>
    </row>
  </sheetData>
  <mergeCells count="26">
    <mergeCell ref="A7:G7"/>
    <mergeCell ref="A8:G8"/>
    <mergeCell ref="A9:B9"/>
    <mergeCell ref="E11:F11"/>
    <mergeCell ref="A1:G1"/>
    <mergeCell ref="E14:F14"/>
    <mergeCell ref="E15:F15"/>
    <mergeCell ref="E16:G16"/>
    <mergeCell ref="A17:G17"/>
    <mergeCell ref="A18:B18"/>
    <mergeCell ref="D37:F37"/>
    <mergeCell ref="D38:F38"/>
    <mergeCell ref="D4:G4"/>
    <mergeCell ref="F3:G3"/>
    <mergeCell ref="A2:G2"/>
    <mergeCell ref="A3:C3"/>
    <mergeCell ref="A4:C4"/>
    <mergeCell ref="A5:C5"/>
    <mergeCell ref="A6:C6"/>
    <mergeCell ref="E20:F20"/>
    <mergeCell ref="A21:B21"/>
    <mergeCell ref="E23:F23"/>
    <mergeCell ref="A24:B24"/>
    <mergeCell ref="E29:F29"/>
    <mergeCell ref="E30:F30"/>
    <mergeCell ref="A12:B12"/>
  </mergeCells>
  <pageMargins left="0.511811024" right="0.511811024" top="0.78740157499999996" bottom="0.78740157499999996" header="0.31496062000000002" footer="0.31496062000000002"/>
  <pageSetup scale="57" orientation="portrait" r:id="rId1"/>
  <headerFooter>
    <oddFooter>&amp;R&amp;"Times New Roman,Normal"&amp;10Página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PLANILHA ORÇAMENTÁRIA </vt:lpstr>
      <vt:lpstr>MEMÓRIA DE CÁLCULO </vt:lpstr>
      <vt:lpstr>CRONOGRAMA FÍSICO FINANCEIRO </vt:lpstr>
      <vt:lpstr>COMPOSIÇÃO </vt:lpstr>
      <vt:lpstr>'CRONOGRAMA FÍSICO FINANCEIRO '!Area_de_impressao</vt:lpstr>
      <vt:lpstr>'MEMÓRIA DE CÁLCULO '!Area_de_impressao</vt:lpstr>
      <vt:lpstr>'PLANILHA ORÇAMENTÁRIA '!Area_de_impressao</vt:lpstr>
      <vt:lpstr>'MEMÓRIA DE CÁLCULO '!Titulos_de_impressao</vt:lpstr>
      <vt:lpstr>'PLANILHA ORÇAMENTÁRIA 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kmari</dc:creator>
  <cp:lastModifiedBy>kmari</cp:lastModifiedBy>
  <cp:lastPrinted>2025-08-25T13:55:39Z</cp:lastPrinted>
  <dcterms:created xsi:type="dcterms:W3CDTF">2025-01-21T17:38:26Z</dcterms:created>
  <dcterms:modified xsi:type="dcterms:W3CDTF">2025-08-25T13:55:52Z</dcterms:modified>
</cp:coreProperties>
</file>