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tor de Compras\Desktop\Reforma das casas de Bomba\"/>
    </mc:Choice>
  </mc:AlternateContent>
  <bookViews>
    <workbookView xWindow="0" yWindow="0" windowWidth="24000" windowHeight="9630" activeTab="4"/>
  </bookViews>
  <sheets>
    <sheet name="BDI" sheetId="10" r:id="rId1"/>
    <sheet name="MC" sheetId="1" r:id="rId2"/>
    <sheet name="ORÇAMENTO" sheetId="8" r:id="rId3"/>
    <sheet name="CPU" sheetId="9" r:id="rId4"/>
    <sheet name="CRONOGRAMA" sheetId="7" r:id="rId5"/>
  </sheets>
  <externalReferences>
    <externalReference r:id="rId6"/>
  </externalReferences>
  <definedNames>
    <definedName name="_xlnm.Print_Area" localSheetId="0">BDI!$B$3:$K$35</definedName>
    <definedName name="_xlnm.Print_Area" localSheetId="3">CPU!$A$1:$I$21</definedName>
    <definedName name="_xlnm.Print_Area" localSheetId="4">CRONOGRAMA!$A$1:$G$52</definedName>
    <definedName name="_xlnm.Print_Area" localSheetId="1">MC!$A$1:$J$775</definedName>
    <definedName name="_xlnm.Print_Area" localSheetId="2">ORÇAMENTO!$B$1:$K$139</definedName>
    <definedName name="_xlnm.Print_Titles" localSheetId="0">BDI!$3:$8</definedName>
    <definedName name="_xlnm.Print_Titles" localSheetId="3">CPU!$1:$5</definedName>
    <definedName name="_xlnm.Print_Titles" localSheetId="4">CRONOGRAMA!$1:$5</definedName>
    <definedName name="_xlnm.Print_Titles" localSheetId="1">MC!$1:$6</definedName>
    <definedName name="_xlnm.Print_Titles" localSheetId="2">ORÇAMENTO!$1:$6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33" i="7"/>
  <c r="I479" i="1"/>
  <c r="H479" i="1"/>
  <c r="C479" i="1"/>
  <c r="I467" i="1"/>
  <c r="H467" i="1"/>
  <c r="C467" i="1"/>
  <c r="I108" i="1"/>
  <c r="H108" i="1"/>
  <c r="C108" i="1"/>
  <c r="I96" i="1"/>
  <c r="H96" i="1"/>
  <c r="C96" i="1"/>
  <c r="J386" i="1"/>
  <c r="J387" i="1" s="1"/>
  <c r="J383" i="1" s="1"/>
  <c r="J766" i="1"/>
  <c r="J767" i="1" s="1"/>
  <c r="J763" i="1" s="1"/>
  <c r="D504" i="1"/>
  <c r="J504" i="1" s="1"/>
  <c r="D132" i="1"/>
  <c r="J132" i="1" s="1"/>
  <c r="D138" i="1"/>
  <c r="D126" i="1"/>
  <c r="J126" i="1" s="1"/>
  <c r="J524" i="1"/>
  <c r="J523" i="1"/>
  <c r="J517" i="1"/>
  <c r="J518" i="1" s="1"/>
  <c r="D510" i="1"/>
  <c r="J510" i="1" s="1"/>
  <c r="J503" i="1"/>
  <c r="I500" i="1"/>
  <c r="H500" i="1"/>
  <c r="C500" i="1"/>
  <c r="J511" i="1"/>
  <c r="J497" i="1"/>
  <c r="J498" i="1" s="1"/>
  <c r="J494" i="1" s="1"/>
  <c r="I494" i="1"/>
  <c r="H494" i="1"/>
  <c r="C494" i="1"/>
  <c r="I520" i="1"/>
  <c r="H520" i="1"/>
  <c r="C520" i="1"/>
  <c r="J144" i="1"/>
  <c r="J145" i="1" s="1"/>
  <c r="J141" i="1" s="1"/>
  <c r="I141" i="1"/>
  <c r="H141" i="1"/>
  <c r="C141" i="1"/>
  <c r="I14" i="7"/>
  <c r="I12" i="7"/>
  <c r="I16" i="7"/>
  <c r="I18" i="7"/>
  <c r="I20" i="7"/>
  <c r="I22" i="7"/>
  <c r="I24" i="7"/>
  <c r="I26" i="7"/>
  <c r="I28" i="7"/>
  <c r="I30" i="7"/>
  <c r="I32" i="7"/>
  <c r="I34" i="7"/>
  <c r="I36" i="7"/>
  <c r="I38" i="7"/>
  <c r="A8" i="7"/>
  <c r="B28" i="7"/>
  <c r="B30" i="7"/>
  <c r="B32" i="7"/>
  <c r="B34" i="7"/>
  <c r="I9" i="9"/>
  <c r="I10" i="9"/>
  <c r="I8" i="9"/>
  <c r="J505" i="1" l="1"/>
  <c r="J500" i="1" s="1"/>
  <c r="J138" i="1"/>
  <c r="J139" i="1" s="1"/>
  <c r="J135" i="1" s="1"/>
  <c r="J512" i="1"/>
  <c r="J507" i="1" s="1"/>
  <c r="J525" i="1"/>
  <c r="J520" i="1" s="1"/>
  <c r="I11" i="9"/>
  <c r="H6" i="9" s="1"/>
  <c r="I763" i="1"/>
  <c r="H763" i="1"/>
  <c r="C763" i="1"/>
  <c r="J760" i="1"/>
  <c r="J761" i="1" s="1"/>
  <c r="J757" i="1" s="1"/>
  <c r="I757" i="1"/>
  <c r="H757" i="1"/>
  <c r="C757" i="1"/>
  <c r="J754" i="1"/>
  <c r="J755" i="1" s="1"/>
  <c r="J751" i="1" s="1"/>
  <c r="I751" i="1"/>
  <c r="H751" i="1"/>
  <c r="C751" i="1"/>
  <c r="J748" i="1"/>
  <c r="J749" i="1" s="1"/>
  <c r="J745" i="1" s="1"/>
  <c r="I745" i="1"/>
  <c r="H745" i="1"/>
  <c r="C745" i="1"/>
  <c r="J742" i="1"/>
  <c r="J743" i="1" s="1"/>
  <c r="J739" i="1" s="1"/>
  <c r="I739" i="1"/>
  <c r="H739" i="1"/>
  <c r="C739" i="1"/>
  <c r="J736" i="1"/>
  <c r="J737" i="1" s="1"/>
  <c r="J733" i="1" s="1"/>
  <c r="I733" i="1"/>
  <c r="H733" i="1"/>
  <c r="C733" i="1"/>
  <c r="D730" i="1"/>
  <c r="J730" i="1" s="1"/>
  <c r="J731" i="1" s="1"/>
  <c r="J727" i="1" s="1"/>
  <c r="I727" i="1"/>
  <c r="H727" i="1"/>
  <c r="C727" i="1"/>
  <c r="D724" i="1"/>
  <c r="J724" i="1" s="1"/>
  <c r="D723" i="1"/>
  <c r="J723" i="1" s="1"/>
  <c r="D722" i="1"/>
  <c r="J722" i="1" s="1"/>
  <c r="D721" i="1"/>
  <c r="J721" i="1" s="1"/>
  <c r="I718" i="1"/>
  <c r="H718" i="1"/>
  <c r="C718" i="1"/>
  <c r="F715" i="1"/>
  <c r="J715" i="1" s="1"/>
  <c r="J716" i="1" s="1"/>
  <c r="J712" i="1" s="1"/>
  <c r="I712" i="1"/>
  <c r="H712" i="1"/>
  <c r="C712" i="1"/>
  <c r="J709" i="1"/>
  <c r="J708" i="1"/>
  <c r="J707" i="1"/>
  <c r="J706" i="1"/>
  <c r="G705" i="1"/>
  <c r="E705" i="1"/>
  <c r="D705" i="1"/>
  <c r="I702" i="1"/>
  <c r="H702" i="1"/>
  <c r="C702" i="1"/>
  <c r="F699" i="1"/>
  <c r="E699" i="1"/>
  <c r="D699" i="1"/>
  <c r="I696" i="1"/>
  <c r="H696" i="1"/>
  <c r="C696" i="1"/>
  <c r="E693" i="1"/>
  <c r="J693" i="1" s="1"/>
  <c r="J694" i="1" s="1"/>
  <c r="J690" i="1" s="1"/>
  <c r="I690" i="1"/>
  <c r="H690" i="1"/>
  <c r="C690" i="1"/>
  <c r="B688" i="1"/>
  <c r="I682" i="1"/>
  <c r="H682" i="1"/>
  <c r="C682" i="1"/>
  <c r="G679" i="1"/>
  <c r="F679" i="1"/>
  <c r="E679" i="1"/>
  <c r="D679" i="1"/>
  <c r="I676" i="1"/>
  <c r="H676" i="1"/>
  <c r="C676" i="1"/>
  <c r="B674" i="1"/>
  <c r="B672" i="1"/>
  <c r="J271" i="1"/>
  <c r="J272" i="1" s="1"/>
  <c r="J268" i="1" s="1"/>
  <c r="J651" i="1"/>
  <c r="J652" i="1" s="1"/>
  <c r="J648" i="1" s="1"/>
  <c r="J669" i="1"/>
  <c r="J670" i="1" s="1"/>
  <c r="J666" i="1" s="1"/>
  <c r="I666" i="1"/>
  <c r="H666" i="1"/>
  <c r="C666" i="1"/>
  <c r="J663" i="1"/>
  <c r="J664" i="1" s="1"/>
  <c r="J660" i="1" s="1"/>
  <c r="I660" i="1"/>
  <c r="H660" i="1"/>
  <c r="C660" i="1"/>
  <c r="J657" i="1"/>
  <c r="J658" i="1" s="1"/>
  <c r="J654" i="1" s="1"/>
  <c r="I654" i="1"/>
  <c r="H654" i="1"/>
  <c r="C654" i="1"/>
  <c r="I648" i="1"/>
  <c r="H648" i="1"/>
  <c r="C648" i="1"/>
  <c r="J645" i="1"/>
  <c r="J646" i="1" s="1"/>
  <c r="J642" i="1" s="1"/>
  <c r="I642" i="1"/>
  <c r="H642" i="1"/>
  <c r="C642" i="1"/>
  <c r="B640" i="1"/>
  <c r="D604" i="1"/>
  <c r="F604" i="1" s="1"/>
  <c r="J604" i="1" s="1"/>
  <c r="F603" i="1"/>
  <c r="J603" i="1" s="1"/>
  <c r="G602" i="1"/>
  <c r="F602" i="1"/>
  <c r="G601" i="1"/>
  <c r="F601" i="1"/>
  <c r="F600" i="1"/>
  <c r="J600" i="1" s="1"/>
  <c r="G599" i="1"/>
  <c r="F599" i="1"/>
  <c r="G598" i="1"/>
  <c r="F598" i="1"/>
  <c r="F597" i="1"/>
  <c r="J597" i="1" s="1"/>
  <c r="G596" i="1"/>
  <c r="F596" i="1"/>
  <c r="F595" i="1"/>
  <c r="J595" i="1" s="1"/>
  <c r="F594" i="1"/>
  <c r="J594" i="1" s="1"/>
  <c r="G593" i="1"/>
  <c r="F593" i="1"/>
  <c r="G592" i="1"/>
  <c r="F592" i="1"/>
  <c r="G591" i="1"/>
  <c r="D591" i="1"/>
  <c r="F591" i="1" s="1"/>
  <c r="D585" i="1"/>
  <c r="F585" i="1" s="1"/>
  <c r="J585" i="1" s="1"/>
  <c r="F584" i="1"/>
  <c r="J584" i="1" s="1"/>
  <c r="G583" i="1"/>
  <c r="F583" i="1"/>
  <c r="G582" i="1"/>
  <c r="F582" i="1"/>
  <c r="F581" i="1"/>
  <c r="J581" i="1" s="1"/>
  <c r="G580" i="1"/>
  <c r="F580" i="1"/>
  <c r="G579" i="1"/>
  <c r="F579" i="1"/>
  <c r="F578" i="1"/>
  <c r="J578" i="1" s="1"/>
  <c r="G577" i="1"/>
  <c r="F577" i="1"/>
  <c r="F576" i="1"/>
  <c r="J576" i="1" s="1"/>
  <c r="F575" i="1"/>
  <c r="J575" i="1" s="1"/>
  <c r="G574" i="1"/>
  <c r="F574" i="1"/>
  <c r="G573" i="1"/>
  <c r="F573" i="1"/>
  <c r="G572" i="1"/>
  <c r="D572" i="1"/>
  <c r="F572" i="1" s="1"/>
  <c r="J637" i="1"/>
  <c r="J638" i="1" s="1"/>
  <c r="J634" i="1" s="1"/>
  <c r="I634" i="1"/>
  <c r="H634" i="1"/>
  <c r="C634" i="1"/>
  <c r="J631" i="1"/>
  <c r="J630" i="1"/>
  <c r="J629" i="1"/>
  <c r="J628" i="1"/>
  <c r="I625" i="1"/>
  <c r="H625" i="1"/>
  <c r="C625" i="1"/>
  <c r="J622" i="1"/>
  <c r="J623" i="1" s="1"/>
  <c r="J619" i="1" s="1"/>
  <c r="I619" i="1"/>
  <c r="H619" i="1"/>
  <c r="C619" i="1"/>
  <c r="J616" i="1"/>
  <c r="J617" i="1" s="1"/>
  <c r="J613" i="1" s="1"/>
  <c r="I613" i="1"/>
  <c r="H613" i="1"/>
  <c r="C613" i="1"/>
  <c r="J610" i="1"/>
  <c r="J611" i="1" s="1"/>
  <c r="J607" i="1" s="1"/>
  <c r="I607" i="1"/>
  <c r="H607" i="1"/>
  <c r="C607" i="1"/>
  <c r="I588" i="1"/>
  <c r="H588" i="1"/>
  <c r="C588" i="1"/>
  <c r="I569" i="1"/>
  <c r="H569" i="1"/>
  <c r="C569" i="1"/>
  <c r="B567" i="1"/>
  <c r="J564" i="1"/>
  <c r="J565" i="1" s="1"/>
  <c r="J561" i="1" s="1"/>
  <c r="I561" i="1"/>
  <c r="H561" i="1"/>
  <c r="C561" i="1"/>
  <c r="J558" i="1"/>
  <c r="J559" i="1" s="1"/>
  <c r="J555" i="1" s="1"/>
  <c r="I555" i="1"/>
  <c r="H555" i="1"/>
  <c r="C555" i="1"/>
  <c r="B553" i="1"/>
  <c r="J550" i="1"/>
  <c r="J551" i="1" s="1"/>
  <c r="J547" i="1" s="1"/>
  <c r="I547" i="1"/>
  <c r="H547" i="1"/>
  <c r="C547" i="1"/>
  <c r="J544" i="1"/>
  <c r="J545" i="1" s="1"/>
  <c r="J541" i="1" s="1"/>
  <c r="I541" i="1"/>
  <c r="H541" i="1"/>
  <c r="C541" i="1"/>
  <c r="J538" i="1"/>
  <c r="J539" i="1" s="1"/>
  <c r="J535" i="1" s="1"/>
  <c r="I535" i="1"/>
  <c r="H535" i="1"/>
  <c r="C535" i="1"/>
  <c r="J532" i="1"/>
  <c r="J533" i="1" s="1"/>
  <c r="J529" i="1" s="1"/>
  <c r="I529" i="1"/>
  <c r="H529" i="1"/>
  <c r="C529" i="1"/>
  <c r="B527" i="1"/>
  <c r="J514" i="1"/>
  <c r="D490" i="1"/>
  <c r="J490" i="1" s="1"/>
  <c r="J491" i="1"/>
  <c r="I514" i="1"/>
  <c r="H514" i="1"/>
  <c r="C514" i="1"/>
  <c r="I507" i="1"/>
  <c r="H507" i="1"/>
  <c r="C507" i="1"/>
  <c r="I487" i="1"/>
  <c r="H487" i="1"/>
  <c r="C487" i="1"/>
  <c r="B485" i="1"/>
  <c r="J464" i="1"/>
  <c r="G445" i="1"/>
  <c r="G442" i="1"/>
  <c r="G218" i="1"/>
  <c r="G199" i="1"/>
  <c r="G70" i="1"/>
  <c r="G441" i="1"/>
  <c r="D434" i="1"/>
  <c r="F434" i="1" s="1"/>
  <c r="G434" i="1"/>
  <c r="G211" i="1"/>
  <c r="D211" i="1"/>
  <c r="F211" i="1" s="1"/>
  <c r="G192" i="1"/>
  <c r="D192" i="1"/>
  <c r="F192" i="1" s="1"/>
  <c r="G63" i="1"/>
  <c r="D63" i="1"/>
  <c r="F63" i="1" s="1"/>
  <c r="D403" i="1"/>
  <c r="D396" i="1"/>
  <c r="J396" i="1" s="1"/>
  <c r="J397" i="1"/>
  <c r="I461" i="1"/>
  <c r="H461" i="1"/>
  <c r="C461" i="1"/>
  <c r="A476" i="1" s="1"/>
  <c r="J458" i="1"/>
  <c r="I455" i="1"/>
  <c r="H455" i="1"/>
  <c r="C455" i="1"/>
  <c r="A475" i="1" s="1"/>
  <c r="J452" i="1"/>
  <c r="J453" i="1" s="1"/>
  <c r="J449" i="1" s="1"/>
  <c r="I449" i="1"/>
  <c r="H449" i="1"/>
  <c r="C449" i="1"/>
  <c r="F446" i="1"/>
  <c r="J446" i="1" s="1"/>
  <c r="F445" i="1"/>
  <c r="G444" i="1"/>
  <c r="F444" i="1"/>
  <c r="F443" i="1"/>
  <c r="J443" i="1" s="1"/>
  <c r="F442" i="1"/>
  <c r="F441" i="1"/>
  <c r="F440" i="1"/>
  <c r="J440" i="1" s="1"/>
  <c r="G439" i="1"/>
  <c r="F439" i="1"/>
  <c r="F438" i="1"/>
  <c r="J438" i="1" s="1"/>
  <c r="F437" i="1"/>
  <c r="J437" i="1" s="1"/>
  <c r="G436" i="1"/>
  <c r="F436" i="1"/>
  <c r="G435" i="1"/>
  <c r="F435" i="1"/>
  <c r="I431" i="1"/>
  <c r="H431" i="1"/>
  <c r="C431" i="1"/>
  <c r="J428" i="1"/>
  <c r="F427" i="1"/>
  <c r="D427" i="1"/>
  <c r="I424" i="1"/>
  <c r="H424" i="1"/>
  <c r="C424" i="1"/>
  <c r="J421" i="1"/>
  <c r="I418" i="1"/>
  <c r="H418" i="1"/>
  <c r="C418" i="1"/>
  <c r="A474" i="1" s="1"/>
  <c r="J415" i="1"/>
  <c r="I412" i="1"/>
  <c r="H412" i="1"/>
  <c r="C412" i="1"/>
  <c r="A473" i="1" s="1"/>
  <c r="J409" i="1"/>
  <c r="I406" i="1"/>
  <c r="H406" i="1"/>
  <c r="C406" i="1"/>
  <c r="A472" i="1" s="1"/>
  <c r="I400" i="1"/>
  <c r="H400" i="1"/>
  <c r="C400" i="1"/>
  <c r="A471" i="1" s="1"/>
  <c r="I393" i="1"/>
  <c r="H393" i="1"/>
  <c r="C393" i="1"/>
  <c r="A470" i="1" s="1"/>
  <c r="B391" i="1"/>
  <c r="B389" i="1"/>
  <c r="D341" i="1"/>
  <c r="J341" i="1" s="1"/>
  <c r="J289" i="1"/>
  <c r="J290" i="1" s="1"/>
  <c r="J286" i="1" s="1"/>
  <c r="I286" i="1"/>
  <c r="H286" i="1"/>
  <c r="C286" i="1"/>
  <c r="J283" i="1"/>
  <c r="J284" i="1" s="1"/>
  <c r="J280" i="1" s="1"/>
  <c r="I280" i="1"/>
  <c r="H280" i="1"/>
  <c r="C280" i="1"/>
  <c r="J277" i="1"/>
  <c r="J278" i="1" s="1"/>
  <c r="J274" i="1" s="1"/>
  <c r="I274" i="1"/>
  <c r="H274" i="1"/>
  <c r="C274" i="1"/>
  <c r="I268" i="1"/>
  <c r="H268" i="1"/>
  <c r="C268" i="1"/>
  <c r="J251" i="1"/>
  <c r="J57" i="1"/>
  <c r="D350" i="1"/>
  <c r="J350" i="1" s="1"/>
  <c r="J351" i="1" s="1"/>
  <c r="J347" i="1" s="1"/>
  <c r="D344" i="1"/>
  <c r="J344" i="1" s="1"/>
  <c r="D343" i="1"/>
  <c r="J343" i="1" s="1"/>
  <c r="D342" i="1"/>
  <c r="J342" i="1" s="1"/>
  <c r="J328" i="1"/>
  <c r="J329" i="1"/>
  <c r="J327" i="1"/>
  <c r="J326" i="1"/>
  <c r="F335" i="1"/>
  <c r="J335" i="1" s="1"/>
  <c r="J336" i="1" s="1"/>
  <c r="J332" i="1" s="1"/>
  <c r="G325" i="1"/>
  <c r="E325" i="1"/>
  <c r="D325" i="1"/>
  <c r="F319" i="1"/>
  <c r="E319" i="1"/>
  <c r="D319" i="1"/>
  <c r="E313" i="1"/>
  <c r="J313" i="1" s="1"/>
  <c r="J314" i="1" s="1"/>
  <c r="J310" i="1" s="1"/>
  <c r="G299" i="1"/>
  <c r="F299" i="1"/>
  <c r="E299" i="1"/>
  <c r="D299" i="1"/>
  <c r="I383" i="1"/>
  <c r="H383" i="1"/>
  <c r="C383" i="1"/>
  <c r="J380" i="1"/>
  <c r="J381" i="1" s="1"/>
  <c r="J377" i="1" s="1"/>
  <c r="I377" i="1"/>
  <c r="H377" i="1"/>
  <c r="C377" i="1"/>
  <c r="J374" i="1"/>
  <c r="J375" i="1" s="1"/>
  <c r="J371" i="1" s="1"/>
  <c r="I371" i="1"/>
  <c r="H371" i="1"/>
  <c r="C371" i="1"/>
  <c r="J368" i="1"/>
  <c r="J369" i="1" s="1"/>
  <c r="J365" i="1" s="1"/>
  <c r="I365" i="1"/>
  <c r="H365" i="1"/>
  <c r="C365" i="1"/>
  <c r="J362" i="1"/>
  <c r="J363" i="1" s="1"/>
  <c r="J359" i="1" s="1"/>
  <c r="I359" i="1"/>
  <c r="H359" i="1"/>
  <c r="C359" i="1"/>
  <c r="J356" i="1"/>
  <c r="J357" i="1" s="1"/>
  <c r="J353" i="1" s="1"/>
  <c r="I353" i="1"/>
  <c r="H353" i="1"/>
  <c r="C353" i="1"/>
  <c r="I347" i="1"/>
  <c r="H347" i="1"/>
  <c r="C347" i="1"/>
  <c r="I338" i="1"/>
  <c r="H338" i="1"/>
  <c r="C338" i="1"/>
  <c r="I332" i="1"/>
  <c r="H332" i="1"/>
  <c r="C332" i="1"/>
  <c r="I322" i="1"/>
  <c r="H322" i="1"/>
  <c r="C322" i="1"/>
  <c r="I316" i="1"/>
  <c r="H316" i="1"/>
  <c r="C316" i="1"/>
  <c r="I310" i="1"/>
  <c r="H310" i="1"/>
  <c r="C310" i="1"/>
  <c r="B308" i="1"/>
  <c r="I302" i="1"/>
  <c r="H302" i="1"/>
  <c r="C302" i="1"/>
  <c r="B294" i="1"/>
  <c r="I296" i="1"/>
  <c r="H296" i="1"/>
  <c r="C296" i="1"/>
  <c r="B292" i="1"/>
  <c r="J257" i="1"/>
  <c r="J249" i="1"/>
  <c r="J250" i="1"/>
  <c r="J248" i="1"/>
  <c r="D224" i="1"/>
  <c r="F224" i="1" s="1"/>
  <c r="J224" i="1" s="1"/>
  <c r="F223" i="1"/>
  <c r="J223" i="1" s="1"/>
  <c r="G222" i="1"/>
  <c r="F222" i="1"/>
  <c r="G221" i="1"/>
  <c r="F221" i="1"/>
  <c r="F220" i="1"/>
  <c r="J220" i="1" s="1"/>
  <c r="G219" i="1"/>
  <c r="F219" i="1"/>
  <c r="F218" i="1"/>
  <c r="F217" i="1"/>
  <c r="J217" i="1" s="1"/>
  <c r="G216" i="1"/>
  <c r="F216" i="1"/>
  <c r="F215" i="1"/>
  <c r="J215" i="1" s="1"/>
  <c r="F214" i="1"/>
  <c r="J214" i="1" s="1"/>
  <c r="G213" i="1"/>
  <c r="F213" i="1"/>
  <c r="G212" i="1"/>
  <c r="F212" i="1"/>
  <c r="D205" i="1"/>
  <c r="F205" i="1" s="1"/>
  <c r="J205" i="1" s="1"/>
  <c r="G74" i="1"/>
  <c r="G71" i="1"/>
  <c r="F204" i="1"/>
  <c r="J204" i="1" s="1"/>
  <c r="G203" i="1"/>
  <c r="F203" i="1"/>
  <c r="G202" i="1"/>
  <c r="F202" i="1"/>
  <c r="F201" i="1"/>
  <c r="J201" i="1" s="1"/>
  <c r="G200" i="1"/>
  <c r="F200" i="1"/>
  <c r="F199" i="1"/>
  <c r="F198" i="1"/>
  <c r="J198" i="1" s="1"/>
  <c r="G197" i="1"/>
  <c r="F197" i="1"/>
  <c r="F196" i="1"/>
  <c r="J196" i="1" s="1"/>
  <c r="F195" i="1"/>
  <c r="J195" i="1" s="1"/>
  <c r="G194" i="1"/>
  <c r="F194" i="1"/>
  <c r="G193" i="1"/>
  <c r="F193" i="1"/>
  <c r="I245" i="1"/>
  <c r="H245" i="1"/>
  <c r="C245" i="1"/>
  <c r="J242" i="1"/>
  <c r="J243" i="1" s="1"/>
  <c r="J239" i="1" s="1"/>
  <c r="I239" i="1"/>
  <c r="H239" i="1"/>
  <c r="C239" i="1"/>
  <c r="J236" i="1"/>
  <c r="J237" i="1" s="1"/>
  <c r="J233" i="1" s="1"/>
  <c r="I233" i="1"/>
  <c r="H233" i="1"/>
  <c r="C233" i="1"/>
  <c r="J230" i="1"/>
  <c r="J231" i="1" s="1"/>
  <c r="J227" i="1" s="1"/>
  <c r="I227" i="1"/>
  <c r="H227" i="1"/>
  <c r="C227" i="1"/>
  <c r="J152" i="1"/>
  <c r="J153" i="1" s="1"/>
  <c r="J149" i="1" s="1"/>
  <c r="J133" i="1"/>
  <c r="J129" i="1" s="1"/>
  <c r="D125" i="1"/>
  <c r="J125" i="1" s="1"/>
  <c r="D119" i="1"/>
  <c r="J119" i="1" s="1"/>
  <c r="J120" i="1" s="1"/>
  <c r="J116" i="1" s="1"/>
  <c r="C116" i="1"/>
  <c r="I135" i="1"/>
  <c r="H135" i="1"/>
  <c r="C135" i="1"/>
  <c r="J50" i="1"/>
  <c r="F75" i="1"/>
  <c r="J75" i="1" s="1"/>
  <c r="F72" i="1"/>
  <c r="J72" i="1" s="1"/>
  <c r="F69" i="1"/>
  <c r="J69" i="1" s="1"/>
  <c r="F66" i="1"/>
  <c r="J66" i="1" s="1"/>
  <c r="G73" i="1"/>
  <c r="G68" i="1"/>
  <c r="G65" i="1"/>
  <c r="G64" i="1"/>
  <c r="F68" i="1"/>
  <c r="F65" i="1"/>
  <c r="F67" i="1"/>
  <c r="J67" i="1" s="1"/>
  <c r="F64" i="1"/>
  <c r="F70" i="1"/>
  <c r="F71" i="1"/>
  <c r="F73" i="1"/>
  <c r="F74" i="1"/>
  <c r="F56" i="1"/>
  <c r="D56" i="1"/>
  <c r="D31" i="1"/>
  <c r="J31" i="1" s="1"/>
  <c r="F100" i="1" s="1"/>
  <c r="H100" i="1" s="1"/>
  <c r="J100" i="1" s="1"/>
  <c r="D25" i="1"/>
  <c r="J25" i="1" s="1"/>
  <c r="J93" i="1"/>
  <c r="I90" i="1"/>
  <c r="H90" i="1"/>
  <c r="C90" i="1"/>
  <c r="A105" i="1" s="1"/>
  <c r="J87" i="1"/>
  <c r="I84" i="1"/>
  <c r="H84" i="1"/>
  <c r="C84" i="1"/>
  <c r="A104" i="1" s="1"/>
  <c r="J81" i="1"/>
  <c r="J82" i="1" s="1"/>
  <c r="J78" i="1" s="1"/>
  <c r="I78" i="1"/>
  <c r="H78" i="1"/>
  <c r="C78" i="1"/>
  <c r="I60" i="1"/>
  <c r="H60" i="1"/>
  <c r="C60" i="1"/>
  <c r="I53" i="1"/>
  <c r="H53" i="1"/>
  <c r="C53" i="1"/>
  <c r="J49" i="1"/>
  <c r="I46" i="1"/>
  <c r="H46" i="1"/>
  <c r="C46" i="1"/>
  <c r="A103" i="1" s="1"/>
  <c r="B18" i="1"/>
  <c r="A8" i="1"/>
  <c r="K4" i="8"/>
  <c r="J25" i="10"/>
  <c r="B22" i="7"/>
  <c r="B20" i="7"/>
  <c r="B18" i="7"/>
  <c r="B16" i="7"/>
  <c r="B14" i="7"/>
  <c r="B12" i="7"/>
  <c r="B24" i="7"/>
  <c r="B26" i="7"/>
  <c r="B36" i="7"/>
  <c r="B38" i="7"/>
  <c r="J265" i="1"/>
  <c r="J266" i="1" s="1"/>
  <c r="J262" i="1" s="1"/>
  <c r="I262" i="1"/>
  <c r="H262" i="1"/>
  <c r="C262" i="1"/>
  <c r="B260" i="1"/>
  <c r="I254" i="1"/>
  <c r="H254" i="1"/>
  <c r="C254" i="1"/>
  <c r="I208" i="1"/>
  <c r="H208" i="1"/>
  <c r="C208" i="1"/>
  <c r="I189" i="1"/>
  <c r="H189" i="1"/>
  <c r="C189" i="1"/>
  <c r="B187" i="1"/>
  <c r="J184" i="1"/>
  <c r="J185" i="1" s="1"/>
  <c r="J181" i="1" s="1"/>
  <c r="I181" i="1"/>
  <c r="H181" i="1"/>
  <c r="C181" i="1"/>
  <c r="J178" i="1"/>
  <c r="J179" i="1" s="1"/>
  <c r="J175" i="1" s="1"/>
  <c r="I175" i="1"/>
  <c r="H175" i="1"/>
  <c r="C175" i="1"/>
  <c r="B173" i="1"/>
  <c r="J170" i="1"/>
  <c r="J171" i="1" s="1"/>
  <c r="J167" i="1" s="1"/>
  <c r="I167" i="1"/>
  <c r="H167" i="1"/>
  <c r="C167" i="1"/>
  <c r="J164" i="1"/>
  <c r="J165" i="1" s="1"/>
  <c r="J161" i="1" s="1"/>
  <c r="I161" i="1"/>
  <c r="H161" i="1"/>
  <c r="C161" i="1"/>
  <c r="J158" i="1"/>
  <c r="J159" i="1" s="1"/>
  <c r="J155" i="1" s="1"/>
  <c r="I155" i="1"/>
  <c r="H155" i="1"/>
  <c r="C155" i="1"/>
  <c r="I149" i="1"/>
  <c r="H149" i="1"/>
  <c r="C149" i="1"/>
  <c r="B147" i="1"/>
  <c r="I129" i="1"/>
  <c r="H129" i="1"/>
  <c r="C129" i="1"/>
  <c r="I122" i="1"/>
  <c r="H122" i="1"/>
  <c r="C122" i="1"/>
  <c r="I116" i="1"/>
  <c r="H116" i="1"/>
  <c r="B114" i="1"/>
  <c r="J43" i="1"/>
  <c r="J44" i="1" s="1"/>
  <c r="I40" i="1"/>
  <c r="H40" i="1"/>
  <c r="C40" i="1"/>
  <c r="A102" i="1" s="1"/>
  <c r="J37" i="1"/>
  <c r="J38" i="1" s="1"/>
  <c r="I34" i="1"/>
  <c r="H34" i="1"/>
  <c r="C34" i="1"/>
  <c r="A101" i="1" s="1"/>
  <c r="I28" i="1"/>
  <c r="H28" i="1"/>
  <c r="C28" i="1"/>
  <c r="A100" i="1" s="1"/>
  <c r="I22" i="1"/>
  <c r="H22" i="1"/>
  <c r="C22" i="1"/>
  <c r="A99" i="1" s="1"/>
  <c r="B20" i="1"/>
  <c r="F5" i="9"/>
  <c r="F27" i="10"/>
  <c r="B27" i="10"/>
  <c r="B6" i="10"/>
  <c r="B5" i="10"/>
  <c r="H23" i="10"/>
  <c r="G16" i="10" s="1"/>
  <c r="E13" i="9"/>
  <c r="A13" i="9"/>
  <c r="E12" i="9"/>
  <c r="A12" i="9"/>
  <c r="A5" i="9"/>
  <c r="A4" i="9"/>
  <c r="A3" i="9"/>
  <c r="A2" i="9"/>
  <c r="I2" i="9"/>
  <c r="I81" i="8" l="1"/>
  <c r="I82" i="8"/>
  <c r="J34" i="1"/>
  <c r="F101" i="1"/>
  <c r="H101" i="1" s="1"/>
  <c r="J101" i="1" s="1"/>
  <c r="D111" i="1" s="1"/>
  <c r="J111" i="1" s="1"/>
  <c r="J112" i="1" s="1"/>
  <c r="J108" i="1" s="1"/>
  <c r="J40" i="1"/>
  <c r="F102" i="1"/>
  <c r="H102" i="1" s="1"/>
  <c r="J102" i="1" s="1"/>
  <c r="J459" i="1"/>
  <c r="J88" i="1"/>
  <c r="J84" i="1" s="1"/>
  <c r="F104" i="1"/>
  <c r="H104" i="1" s="1"/>
  <c r="J104" i="1" s="1"/>
  <c r="J94" i="1"/>
  <c r="J90" i="1" s="1"/>
  <c r="H105" i="1"/>
  <c r="J105" i="1" s="1"/>
  <c r="J465" i="1"/>
  <c r="J410" i="1"/>
  <c r="J416" i="1"/>
  <c r="J26" i="1"/>
  <c r="J22" i="1" s="1"/>
  <c r="H99" i="1"/>
  <c r="J99" i="1" s="1"/>
  <c r="I86" i="8"/>
  <c r="I22" i="8"/>
  <c r="I23" i="8"/>
  <c r="J127" i="1"/>
  <c r="J122" i="1" s="1"/>
  <c r="I89" i="8"/>
  <c r="I85" i="8"/>
  <c r="I13" i="8"/>
  <c r="I29" i="8"/>
  <c r="J593" i="1"/>
  <c r="J596" i="1"/>
  <c r="J705" i="1"/>
  <c r="J710" i="1" s="1"/>
  <c r="J702" i="1" s="1"/>
  <c r="J583" i="1"/>
  <c r="J592" i="1"/>
  <c r="J679" i="1"/>
  <c r="J680" i="1" s="1"/>
  <c r="D685" i="1" s="1"/>
  <c r="J573" i="1"/>
  <c r="J699" i="1"/>
  <c r="J700" i="1" s="1"/>
  <c r="J696" i="1" s="1"/>
  <c r="J725" i="1"/>
  <c r="J718" i="1" s="1"/>
  <c r="J591" i="1"/>
  <c r="J602" i="1"/>
  <c r="J598" i="1"/>
  <c r="J577" i="1"/>
  <c r="J582" i="1"/>
  <c r="J632" i="1"/>
  <c r="J625" i="1" s="1"/>
  <c r="J572" i="1"/>
  <c r="J574" i="1"/>
  <c r="J580" i="1"/>
  <c r="J441" i="1"/>
  <c r="J579" i="1"/>
  <c r="J599" i="1"/>
  <c r="J601" i="1"/>
  <c r="J427" i="1"/>
  <c r="J429" i="1" s="1"/>
  <c r="J424" i="1" s="1"/>
  <c r="J403" i="1"/>
  <c r="J404" i="1" s="1"/>
  <c r="J192" i="1"/>
  <c r="J492" i="1"/>
  <c r="J487" i="1" s="1"/>
  <c r="J434" i="1"/>
  <c r="J73" i="1"/>
  <c r="J63" i="1"/>
  <c r="J211" i="1"/>
  <c r="J398" i="1"/>
  <c r="J442" i="1"/>
  <c r="J435" i="1"/>
  <c r="J445" i="1"/>
  <c r="J436" i="1"/>
  <c r="J439" i="1"/>
  <c r="J444" i="1"/>
  <c r="J422" i="1"/>
  <c r="D474" i="1" s="1"/>
  <c r="F474" i="1" s="1"/>
  <c r="H474" i="1" s="1"/>
  <c r="I97" i="8"/>
  <c r="I99" i="8"/>
  <c r="I100" i="8"/>
  <c r="I101" i="8"/>
  <c r="I102" i="8"/>
  <c r="I103" i="8"/>
  <c r="I104" i="8"/>
  <c r="I105" i="8"/>
  <c r="I107" i="8"/>
  <c r="I109" i="8"/>
  <c r="I111" i="8"/>
  <c r="I115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91" i="8"/>
  <c r="I92" i="8"/>
  <c r="I93" i="8"/>
  <c r="I94" i="8"/>
  <c r="I96" i="8"/>
  <c r="I108" i="8"/>
  <c r="I110" i="8"/>
  <c r="I114" i="8"/>
  <c r="I88" i="8"/>
  <c r="I87" i="8"/>
  <c r="I75" i="8"/>
  <c r="I84" i="8"/>
  <c r="I72" i="8"/>
  <c r="I74" i="8"/>
  <c r="I77" i="8"/>
  <c r="I79" i="8"/>
  <c r="I71" i="8"/>
  <c r="I73" i="8"/>
  <c r="I76" i="8"/>
  <c r="I78" i="8"/>
  <c r="I80" i="8"/>
  <c r="I50" i="8"/>
  <c r="I48" i="8"/>
  <c r="I51" i="8"/>
  <c r="I49" i="8"/>
  <c r="I67" i="8"/>
  <c r="I62" i="8"/>
  <c r="I55" i="8"/>
  <c r="J345" i="1"/>
  <c r="J338" i="1" s="1"/>
  <c r="J299" i="1"/>
  <c r="J300" i="1" s="1"/>
  <c r="J319" i="1"/>
  <c r="J320" i="1" s="1"/>
  <c r="J316" i="1" s="1"/>
  <c r="J325" i="1"/>
  <c r="J252" i="1"/>
  <c r="J245" i="1" s="1"/>
  <c r="J71" i="1"/>
  <c r="J221" i="1"/>
  <c r="J194" i="1"/>
  <c r="J197" i="1"/>
  <c r="J202" i="1"/>
  <c r="J219" i="1"/>
  <c r="J199" i="1"/>
  <c r="J212" i="1"/>
  <c r="J200" i="1"/>
  <c r="J213" i="1"/>
  <c r="J216" i="1"/>
  <c r="J218" i="1"/>
  <c r="J222" i="1"/>
  <c r="J193" i="1"/>
  <c r="J203" i="1"/>
  <c r="J70" i="1"/>
  <c r="J74" i="1"/>
  <c r="J65" i="1"/>
  <c r="J64" i="1"/>
  <c r="J68" i="1"/>
  <c r="J51" i="1"/>
  <c r="J56" i="1"/>
  <c r="J58" i="1" s="1"/>
  <c r="J53" i="1" s="1"/>
  <c r="I16" i="8"/>
  <c r="I68" i="8"/>
  <c r="I60" i="8"/>
  <c r="I66" i="8"/>
  <c r="I64" i="8"/>
  <c r="I61" i="8"/>
  <c r="I59" i="8"/>
  <c r="I65" i="8"/>
  <c r="I63" i="8"/>
  <c r="I58" i="8"/>
  <c r="J258" i="1"/>
  <c r="J254" i="1" s="1"/>
  <c r="J32" i="1"/>
  <c r="J28" i="1" s="1"/>
  <c r="I54" i="8"/>
  <c r="I57" i="8"/>
  <c r="I42" i="8"/>
  <c r="I45" i="8"/>
  <c r="I41" i="8"/>
  <c r="I44" i="8"/>
  <c r="I43" i="8"/>
  <c r="I40" i="8"/>
  <c r="I28" i="8"/>
  <c r="I19" i="8"/>
  <c r="I14" i="8"/>
  <c r="I17" i="8"/>
  <c r="I21" i="8"/>
  <c r="I20" i="8"/>
  <c r="I15" i="8"/>
  <c r="I18" i="8"/>
  <c r="I47" i="8"/>
  <c r="I37" i="8"/>
  <c r="I33" i="8"/>
  <c r="I34" i="8"/>
  <c r="I32" i="8"/>
  <c r="I27" i="8"/>
  <c r="I26" i="8"/>
  <c r="I12" i="8"/>
  <c r="I39" i="8"/>
  <c r="K10" i="10"/>
  <c r="J400" i="1" l="1"/>
  <c r="F471" i="1"/>
  <c r="H471" i="1" s="1"/>
  <c r="J471" i="1" s="1"/>
  <c r="J406" i="1"/>
  <c r="F472" i="1"/>
  <c r="H472" i="1" s="1"/>
  <c r="J472" i="1" s="1"/>
  <c r="J393" i="1"/>
  <c r="F470" i="1"/>
  <c r="H470" i="1" s="1"/>
  <c r="J470" i="1" s="1"/>
  <c r="J412" i="1"/>
  <c r="F473" i="1"/>
  <c r="H473" i="1" s="1"/>
  <c r="J473" i="1" s="1"/>
  <c r="J461" i="1"/>
  <c r="H476" i="1"/>
  <c r="J476" i="1" s="1"/>
  <c r="J455" i="1"/>
  <c r="F475" i="1"/>
  <c r="H475" i="1" s="1"/>
  <c r="J475" i="1" s="1"/>
  <c r="J46" i="1"/>
  <c r="H103" i="1"/>
  <c r="J103" i="1" s="1"/>
  <c r="J106" i="1" s="1"/>
  <c r="J96" i="1" s="1"/>
  <c r="J418" i="1"/>
  <c r="J474" i="1"/>
  <c r="E685" i="1"/>
  <c r="J685" i="1" s="1"/>
  <c r="J686" i="1" s="1"/>
  <c r="J682" i="1" s="1"/>
  <c r="J676" i="1"/>
  <c r="J605" i="1"/>
  <c r="J588" i="1" s="1"/>
  <c r="J586" i="1"/>
  <c r="J569" i="1" s="1"/>
  <c r="J447" i="1"/>
  <c r="J431" i="1" s="1"/>
  <c r="J330" i="1"/>
  <c r="J322" i="1" s="1"/>
  <c r="E305" i="1"/>
  <c r="J296" i="1"/>
  <c r="D305" i="1"/>
  <c r="J225" i="1"/>
  <c r="J208" i="1" s="1"/>
  <c r="J206" i="1"/>
  <c r="J189" i="1" s="1"/>
  <c r="J76" i="1"/>
  <c r="J60" i="1" s="1"/>
  <c r="I10" i="7"/>
  <c r="I12" i="1"/>
  <c r="J477" i="1" l="1"/>
  <c r="D482" i="1" s="1"/>
  <c r="J482" i="1" s="1"/>
  <c r="J483" i="1" s="1"/>
  <c r="J479" i="1" s="1"/>
  <c r="J305" i="1"/>
  <c r="J306" i="1" s="1"/>
  <c r="J302" i="1" s="1"/>
  <c r="I31" i="8"/>
  <c r="D44" i="7"/>
  <c r="D45" i="7"/>
  <c r="A45" i="7"/>
  <c r="A44" i="7"/>
  <c r="A770" i="1"/>
  <c r="E770" i="1"/>
  <c r="E769" i="1"/>
  <c r="A769" i="1"/>
  <c r="J467" i="1" l="1"/>
  <c r="I9" i="8"/>
  <c r="I36" i="8"/>
  <c r="I25" i="8"/>
  <c r="B10" i="1" l="1"/>
  <c r="A2" i="7"/>
  <c r="B10" i="7" l="1"/>
  <c r="G2" i="7"/>
  <c r="A5" i="7"/>
  <c r="A4" i="7"/>
  <c r="A3" i="7"/>
  <c r="H12" i="1"/>
  <c r="C12" i="1"/>
  <c r="A6" i="1"/>
  <c r="A5" i="1"/>
  <c r="A4" i="1"/>
  <c r="G82" i="8" l="1"/>
  <c r="G81" i="8"/>
  <c r="G88" i="8"/>
  <c r="G22" i="8"/>
  <c r="G23" i="8"/>
  <c r="G89" i="8"/>
  <c r="G86" i="8"/>
  <c r="J86" i="8" s="1"/>
  <c r="G85" i="8"/>
  <c r="J85" i="8" s="1"/>
  <c r="G29" i="8"/>
  <c r="K29" i="8" s="1"/>
  <c r="G127" i="8"/>
  <c r="G36" i="8"/>
  <c r="G12" i="8"/>
  <c r="G120" i="8"/>
  <c r="G96" i="8"/>
  <c r="G76" i="8"/>
  <c r="G64" i="8"/>
  <c r="G49" i="8"/>
  <c r="G34" i="8"/>
  <c r="G17" i="8"/>
  <c r="G119" i="8"/>
  <c r="G102" i="8"/>
  <c r="G84" i="8"/>
  <c r="G48" i="8"/>
  <c r="G32" i="8"/>
  <c r="G16" i="8"/>
  <c r="G124" i="8"/>
  <c r="G109" i="8"/>
  <c r="G92" i="8"/>
  <c r="G74" i="8"/>
  <c r="G62" i="8"/>
  <c r="G47" i="8"/>
  <c r="G31" i="8"/>
  <c r="J31" i="8" s="1"/>
  <c r="G15" i="8"/>
  <c r="G108" i="8"/>
  <c r="G79" i="8"/>
  <c r="G73" i="8"/>
  <c r="G61" i="8"/>
  <c r="G20" i="8"/>
  <c r="G45" i="8"/>
  <c r="G39" i="8"/>
  <c r="K39" i="8" s="1"/>
  <c r="G100" i="8"/>
  <c r="G128" i="8"/>
  <c r="G122" i="8"/>
  <c r="G115" i="8"/>
  <c r="G107" i="8"/>
  <c r="G99" i="8"/>
  <c r="G78" i="8"/>
  <c r="G72" i="8"/>
  <c r="G66" i="8"/>
  <c r="G60" i="8"/>
  <c r="G51" i="8"/>
  <c r="G44" i="8"/>
  <c r="G37" i="8"/>
  <c r="G28" i="8"/>
  <c r="G19" i="8"/>
  <c r="G13" i="8"/>
  <c r="G121" i="8"/>
  <c r="G114" i="8"/>
  <c r="G104" i="8"/>
  <c r="G97" i="8"/>
  <c r="G77" i="8"/>
  <c r="G71" i="8"/>
  <c r="G65" i="8"/>
  <c r="G59" i="8"/>
  <c r="G50" i="8"/>
  <c r="G43" i="8"/>
  <c r="G27" i="8"/>
  <c r="G18" i="8"/>
  <c r="G126" i="8"/>
  <c r="G111" i="8"/>
  <c r="G103" i="8"/>
  <c r="G87" i="8"/>
  <c r="G58" i="8"/>
  <c r="G42" i="8"/>
  <c r="G26" i="8"/>
  <c r="G125" i="8"/>
  <c r="G110" i="8"/>
  <c r="G94" i="8"/>
  <c r="G75" i="8"/>
  <c r="G63" i="8"/>
  <c r="G57" i="8"/>
  <c r="G41" i="8"/>
  <c r="G25" i="8"/>
  <c r="G118" i="8"/>
  <c r="G101" i="8"/>
  <c r="G80" i="8"/>
  <c r="G68" i="8"/>
  <c r="G55" i="8"/>
  <c r="G40" i="8"/>
  <c r="G21" i="8"/>
  <c r="G123" i="8"/>
  <c r="G117" i="8"/>
  <c r="G91" i="8"/>
  <c r="G67" i="8"/>
  <c r="G54" i="8"/>
  <c r="K54" i="8" s="1"/>
  <c r="G14" i="8"/>
  <c r="G33" i="8"/>
  <c r="G93" i="8"/>
  <c r="G105" i="8"/>
  <c r="J15" i="1"/>
  <c r="J16" i="1" s="1"/>
  <c r="J81" i="8" l="1"/>
  <c r="K81" i="8"/>
  <c r="J82" i="8"/>
  <c r="K82" i="8"/>
  <c r="J23" i="8"/>
  <c r="K23" i="8"/>
  <c r="J22" i="8"/>
  <c r="K22" i="8"/>
  <c r="K86" i="8"/>
  <c r="K85" i="8"/>
  <c r="J89" i="8"/>
  <c r="K89" i="8"/>
  <c r="J29" i="8"/>
  <c r="J88" i="8"/>
  <c r="K88" i="8"/>
  <c r="K99" i="8"/>
  <c r="J99" i="8"/>
  <c r="K103" i="8"/>
  <c r="J103" i="8"/>
  <c r="K126" i="8"/>
  <c r="J126" i="8"/>
  <c r="J94" i="8"/>
  <c r="K94" i="8"/>
  <c r="K114" i="8"/>
  <c r="J114" i="8"/>
  <c r="K100" i="8"/>
  <c r="J100" i="8"/>
  <c r="K104" i="8"/>
  <c r="J104" i="8"/>
  <c r="K111" i="8"/>
  <c r="J111" i="8"/>
  <c r="K119" i="8"/>
  <c r="J119" i="8"/>
  <c r="K123" i="8"/>
  <c r="J123" i="8"/>
  <c r="K127" i="8"/>
  <c r="J127" i="8"/>
  <c r="K110" i="8"/>
  <c r="J110" i="8"/>
  <c r="K118" i="8"/>
  <c r="J118" i="8"/>
  <c r="K122" i="8"/>
  <c r="J122" i="8"/>
  <c r="J91" i="8"/>
  <c r="K91" i="8"/>
  <c r="K96" i="8"/>
  <c r="J96" i="8"/>
  <c r="K101" i="8"/>
  <c r="J101" i="8"/>
  <c r="K105" i="8"/>
  <c r="J105" i="8"/>
  <c r="K115" i="8"/>
  <c r="J115" i="8"/>
  <c r="K120" i="8"/>
  <c r="J120" i="8"/>
  <c r="K124" i="8"/>
  <c r="J124" i="8"/>
  <c r="K128" i="8"/>
  <c r="J128" i="8"/>
  <c r="J93" i="8"/>
  <c r="K93" i="8"/>
  <c r="K109" i="8"/>
  <c r="J109" i="8"/>
  <c r="J92" i="8"/>
  <c r="K92" i="8"/>
  <c r="K108" i="8"/>
  <c r="J108" i="8"/>
  <c r="K97" i="8"/>
  <c r="J97" i="8"/>
  <c r="K102" i="8"/>
  <c r="J102" i="8"/>
  <c r="K107" i="8"/>
  <c r="J107" i="8"/>
  <c r="K117" i="8"/>
  <c r="J117" i="8"/>
  <c r="K121" i="8"/>
  <c r="J121" i="8"/>
  <c r="K125" i="8"/>
  <c r="J125" i="8"/>
  <c r="J87" i="8"/>
  <c r="K87" i="8"/>
  <c r="J75" i="8"/>
  <c r="K75" i="8"/>
  <c r="K84" i="8"/>
  <c r="J84" i="8"/>
  <c r="J71" i="8"/>
  <c r="K71" i="8"/>
  <c r="K72" i="8"/>
  <c r="J72" i="8"/>
  <c r="K73" i="8"/>
  <c r="J73" i="8"/>
  <c r="K74" i="8"/>
  <c r="J74" i="8"/>
  <c r="K76" i="8"/>
  <c r="J76" i="8"/>
  <c r="K77" i="8"/>
  <c r="J77" i="8"/>
  <c r="K78" i="8"/>
  <c r="J78" i="8"/>
  <c r="K79" i="8"/>
  <c r="J79" i="8"/>
  <c r="K80" i="8"/>
  <c r="J80" i="8"/>
  <c r="J60" i="8"/>
  <c r="K60" i="8"/>
  <c r="J61" i="8"/>
  <c r="K61" i="8"/>
  <c r="J58" i="8"/>
  <c r="K58" i="8"/>
  <c r="J63" i="8"/>
  <c r="K63" i="8"/>
  <c r="J64" i="8"/>
  <c r="K64" i="8"/>
  <c r="J65" i="8"/>
  <c r="K65" i="8"/>
  <c r="J62" i="8"/>
  <c r="K62" i="8"/>
  <c r="J50" i="8"/>
  <c r="K50" i="8"/>
  <c r="J66" i="8"/>
  <c r="K66" i="8"/>
  <c r="J59" i="8"/>
  <c r="K59" i="8"/>
  <c r="J48" i="8"/>
  <c r="K48" i="8"/>
  <c r="J67" i="8"/>
  <c r="K67" i="8"/>
  <c r="J49" i="8"/>
  <c r="K49" i="8"/>
  <c r="J68" i="8"/>
  <c r="K68" i="8"/>
  <c r="J55" i="8"/>
  <c r="K55" i="8"/>
  <c r="K53" i="8" s="1"/>
  <c r="J51" i="8"/>
  <c r="K51" i="8"/>
  <c r="J16" i="8"/>
  <c r="K16" i="8"/>
  <c r="J54" i="8"/>
  <c r="K57" i="8"/>
  <c r="J57" i="8"/>
  <c r="J43" i="8"/>
  <c r="K43" i="8"/>
  <c r="J40" i="8"/>
  <c r="K40" i="8"/>
  <c r="J28" i="8"/>
  <c r="K28" i="8"/>
  <c r="J41" i="8"/>
  <c r="K41" i="8"/>
  <c r="J45" i="8"/>
  <c r="K45" i="8"/>
  <c r="J42" i="8"/>
  <c r="K42" i="8"/>
  <c r="J44" i="8"/>
  <c r="K44" i="8"/>
  <c r="J14" i="8"/>
  <c r="K14" i="8"/>
  <c r="J18" i="8"/>
  <c r="K18" i="8"/>
  <c r="J20" i="8"/>
  <c r="K20" i="8"/>
  <c r="J19" i="8"/>
  <c r="K19" i="8"/>
  <c r="J15" i="8"/>
  <c r="K15" i="8"/>
  <c r="J13" i="8"/>
  <c r="K13" i="8"/>
  <c r="J17" i="8"/>
  <c r="K17" i="8"/>
  <c r="J21" i="8"/>
  <c r="K21" i="8"/>
  <c r="J27" i="8"/>
  <c r="K27" i="8"/>
  <c r="J34" i="8"/>
  <c r="K34" i="8"/>
  <c r="J33" i="8"/>
  <c r="K33" i="8"/>
  <c r="J12" i="8"/>
  <c r="K12" i="8"/>
  <c r="J26" i="8"/>
  <c r="K26" i="8"/>
  <c r="J37" i="8"/>
  <c r="K37" i="8"/>
  <c r="J32" i="8"/>
  <c r="K32" i="8"/>
  <c r="J47" i="8"/>
  <c r="K47" i="8"/>
  <c r="K31" i="8"/>
  <c r="J39" i="8"/>
  <c r="J6" i="1"/>
  <c r="K70" i="8" l="1"/>
  <c r="K11" i="8"/>
  <c r="J83" i="8"/>
  <c r="K30" i="8"/>
  <c r="D17" i="7" s="1"/>
  <c r="K38" i="8"/>
  <c r="D21" i="7" s="1"/>
  <c r="K46" i="8"/>
  <c r="D23" i="7" s="1"/>
  <c r="K56" i="8"/>
  <c r="K52" i="8" s="1"/>
  <c r="K83" i="8"/>
  <c r="D29" i="7" s="1"/>
  <c r="E29" i="7" s="1"/>
  <c r="K90" i="8"/>
  <c r="D31" i="7" s="1"/>
  <c r="F31" i="7" s="1"/>
  <c r="K95" i="8"/>
  <c r="D33" i="7" s="1"/>
  <c r="F33" i="7" s="1"/>
  <c r="K98" i="8"/>
  <c r="D35" i="7" s="1"/>
  <c r="K106" i="8"/>
  <c r="D37" i="7" s="1"/>
  <c r="K113" i="8"/>
  <c r="J113" i="8"/>
  <c r="K116" i="8"/>
  <c r="J95" i="8"/>
  <c r="J90" i="8"/>
  <c r="J30" i="8"/>
  <c r="J106" i="8"/>
  <c r="J116" i="8"/>
  <c r="J98" i="8"/>
  <c r="J70" i="8"/>
  <c r="J46" i="8"/>
  <c r="J56" i="8"/>
  <c r="J53" i="8"/>
  <c r="J11" i="8"/>
  <c r="K25" i="8"/>
  <c r="K24" i="8" s="1"/>
  <c r="J38" i="8"/>
  <c r="K36" i="8"/>
  <c r="K35" i="8" s="1"/>
  <c r="J36" i="8"/>
  <c r="J35" i="8" s="1"/>
  <c r="J12" i="1"/>
  <c r="G9" i="8" s="1"/>
  <c r="K112" i="8" l="1"/>
  <c r="J112" i="8"/>
  <c r="J69" i="8" s="1"/>
  <c r="J52" i="8"/>
  <c r="G35" i="7"/>
  <c r="F35" i="7"/>
  <c r="K10" i="8"/>
  <c r="D19" i="7"/>
  <c r="F37" i="7"/>
  <c r="G37" i="7"/>
  <c r="F17" i="7"/>
  <c r="F21" i="7"/>
  <c r="G21" i="7"/>
  <c r="G23" i="7"/>
  <c r="F23" i="7"/>
  <c r="J25" i="8"/>
  <c r="J24" i="8" s="1"/>
  <c r="J9" i="8"/>
  <c r="J8" i="8" s="1"/>
  <c r="K69" i="8" l="1"/>
  <c r="D39" i="7"/>
  <c r="J10" i="8"/>
  <c r="F19" i="7"/>
  <c r="D15" i="7"/>
  <c r="F15" i="7" s="1"/>
  <c r="D25" i="7"/>
  <c r="D27" i="7"/>
  <c r="F39" i="7" l="1"/>
  <c r="E39" i="7"/>
  <c r="G39" i="7"/>
  <c r="E27" i="7"/>
  <c r="G25" i="7"/>
  <c r="F25" i="7"/>
  <c r="E25" i="7"/>
  <c r="E15" i="7"/>
  <c r="D13" i="7"/>
  <c r="E13" i="7" s="1"/>
  <c r="K9" i="8"/>
  <c r="K8" i="8" s="1"/>
  <c r="K7" i="8" s="1"/>
  <c r="G9" i="7" l="1"/>
  <c r="G41" i="7" s="1"/>
  <c r="F9" i="7"/>
  <c r="J7" i="8" l="1"/>
  <c r="D11" i="7" l="1"/>
  <c r="D41" i="7" l="1"/>
  <c r="E11" i="7"/>
  <c r="E9" i="7" s="1"/>
  <c r="E41" i="7" l="1"/>
  <c r="E43" i="7" s="1"/>
  <c r="E42" i="7" s="1"/>
  <c r="F41" i="7"/>
  <c r="F43" i="7" l="1"/>
  <c r="G43" i="7" s="1"/>
  <c r="G42" i="7" s="1"/>
  <c r="F42" i="7" l="1"/>
  <c r="J129" i="8"/>
  <c r="K129" i="8"/>
  <c r="F5" i="7" s="1"/>
  <c r="D9" i="7" s="1"/>
  <c r="D28" i="7" l="1"/>
  <c r="D30" i="7"/>
  <c r="D34" i="7"/>
  <c r="D32" i="7"/>
  <c r="D40" i="7"/>
  <c r="D38" i="7"/>
  <c r="D18" i="7"/>
  <c r="D26" i="7"/>
  <c r="D12" i="7"/>
  <c r="D20" i="7"/>
  <c r="F8" i="7"/>
  <c r="F40" i="7" s="1"/>
  <c r="E8" i="7"/>
  <c r="E40" i="7" s="1"/>
  <c r="D14" i="7"/>
  <c r="D36" i="7"/>
  <c r="D22" i="7"/>
  <c r="D16" i="7"/>
  <c r="D10" i="7"/>
  <c r="D24" i="7"/>
  <c r="D8" i="7"/>
  <c r="G8" i="7"/>
  <c r="G40" i="7" s="1"/>
  <c r="I40" i="7" l="1"/>
</calcChain>
</file>

<file path=xl/sharedStrings.xml><?xml version="1.0" encoding="utf-8"?>
<sst xmlns="http://schemas.openxmlformats.org/spreadsheetml/2006/main" count="1708" uniqueCount="455">
  <si>
    <t>Repet.</t>
  </si>
  <si>
    <t>TOTAL</t>
  </si>
  <si>
    <t>Espessura (m)</t>
  </si>
  <si>
    <t>Área (m²)</t>
  </si>
  <si>
    <t>DATA:</t>
  </si>
  <si>
    <t xml:space="preserve">PRAZO EXECUÇÃO: </t>
  </si>
  <si>
    <t>1.1</t>
  </si>
  <si>
    <t>1.2</t>
  </si>
  <si>
    <t>1.3</t>
  </si>
  <si>
    <t>1.4</t>
  </si>
  <si>
    <t>ITEM</t>
  </si>
  <si>
    <t>CÓDIGO</t>
  </si>
  <si>
    <t>DESCRIÇÃO</t>
  </si>
  <si>
    <t>FONTE</t>
  </si>
  <si>
    <t>SETOP</t>
  </si>
  <si>
    <t>SINAPI</t>
  </si>
  <si>
    <t>DESCRIÇÃO DO ITEM:</t>
  </si>
  <si>
    <t>CRONOGRAMA FÍSICO-FINANCEIRO</t>
  </si>
  <si>
    <t>FÍSICO-FINANCEIRO</t>
  </si>
  <si>
    <t>MÊS 01</t>
  </si>
  <si>
    <t>MÊS 02</t>
  </si>
  <si>
    <t>Financeiro</t>
  </si>
  <si>
    <t>Físico (%)</t>
  </si>
  <si>
    <t>ACUMULADO</t>
  </si>
  <si>
    <t>ETAPA</t>
  </si>
  <si>
    <t>FÍSICO/FINANCEIRO GLOBAL</t>
  </si>
  <si>
    <t>PLANILHA ORÇAMENTÁRIA DE CUSTOS</t>
  </si>
  <si>
    <t xml:space="preserve">DATA: </t>
  </si>
  <si>
    <t xml:space="preserve">FORMA DE EXECUÇÃO: </t>
  </si>
  <si>
    <t>BDI (%)</t>
  </si>
  <si>
    <t>UNIDADE</t>
  </si>
  <si>
    <t>QUANTIDADE</t>
  </si>
  <si>
    <t>PREÇO UNITÁRIO S/ BDI</t>
  </si>
  <si>
    <t>PREÇO UNITÁRIO C/ BDI</t>
  </si>
  <si>
    <t>TOTAL GERAL DA OBRA</t>
  </si>
  <si>
    <t xml:space="preserve">SERVIÇOS PRELIMINARES </t>
  </si>
  <si>
    <t>MEMÓRIA DE CÁLCULO AUXILIAR</t>
  </si>
  <si>
    <t>(      ) DIRETA</t>
  </si>
  <si>
    <t xml:space="preserve"> (  X  ) INDIRETA</t>
  </si>
  <si>
    <t>Área total (m²)</t>
  </si>
  <si>
    <t>Quantidade (un)</t>
  </si>
  <si>
    <t>H</t>
  </si>
  <si>
    <t>Total</t>
  </si>
  <si>
    <t>Comprimento (m)</t>
  </si>
  <si>
    <t>Altura (m)</t>
  </si>
  <si>
    <t>PREÇO TOTAL C/ BDI</t>
  </si>
  <si>
    <t>PREÇO TOTAL S/ BDI</t>
  </si>
  <si>
    <t>PRAZO DE EXECUÇÃO: 03 MESES</t>
  </si>
  <si>
    <t>(  X  ) INDIRETA</t>
  </si>
  <si>
    <t>(    )     DIRETA</t>
  </si>
  <si>
    <t>03 MESES</t>
  </si>
  <si>
    <t>MÊS 03</t>
  </si>
  <si>
    <t xml:space="preserve">RESPONSÁVEL TÉCNICO: </t>
  </si>
  <si>
    <t xml:space="preserve">RESPONSÁVEL LEGAL: </t>
  </si>
  <si>
    <t>______________________________________________
GERALDO DIAS PEREIRA JÚNIOR
ENGENHEIRO CIVIL - CREA:  248.562/D - MG</t>
  </si>
  <si>
    <t>1.5</t>
  </si>
  <si>
    <t>CPU - COMPOSIÇÃO DE PREÇO UNITÁRIO</t>
  </si>
  <si>
    <t>(    )</t>
  </si>
  <si>
    <t>DIRETA</t>
  </si>
  <si>
    <t>( X )</t>
  </si>
  <si>
    <t>INDIRETA</t>
  </si>
  <si>
    <t>CPU-01</t>
  </si>
  <si>
    <t>1.6</t>
  </si>
  <si>
    <t>un</t>
  </si>
  <si>
    <t>_________________________________________
MIGUEL PAULO SOUZA FILHO
PREFEITO MUNICIPAL DE SÃO FRANCISCO</t>
  </si>
  <si>
    <t>Quant. Total (un)</t>
  </si>
  <si>
    <t>Volume total (m²)</t>
  </si>
  <si>
    <t xml:space="preserve">     PLANILHA DE DETALHAMENTO DO BDI</t>
  </si>
  <si>
    <t>BDI</t>
  </si>
  <si>
    <t>COMPOSIÇÃO DE BDI ADOTADA</t>
  </si>
  <si>
    <t>Garantia (G) +Seguro(S)</t>
  </si>
  <si>
    <t>Garantia:</t>
  </si>
  <si>
    <t>BDI= ((1+AC+G+S+R)x(1+DF)x(1+L))-1/1-T</t>
  </si>
  <si>
    <t>Risco (R )</t>
  </si>
  <si>
    <t>Risco:</t>
  </si>
  <si>
    <t>Despesas Financeiras(DF)</t>
  </si>
  <si>
    <t>Despesas Financeiras</t>
  </si>
  <si>
    <t>Administração Central(AC)</t>
  </si>
  <si>
    <t>Administração central</t>
  </si>
  <si>
    <t>Lucro(L)</t>
  </si>
  <si>
    <t>Lucro</t>
  </si>
  <si>
    <t xml:space="preserve">Observação: </t>
  </si>
  <si>
    <t>Tributos(T)</t>
  </si>
  <si>
    <t>conforme legislação</t>
  </si>
  <si>
    <t>** Tributos</t>
  </si>
  <si>
    <t>i) Composição do BDI, intervalos admissíveis e Formula de cálculo nos termos do Acordão 2622/2013 do TCU.</t>
  </si>
  <si>
    <t>** Tributos adotados e justificados</t>
  </si>
  <si>
    <t>confins</t>
  </si>
  <si>
    <t>pis</t>
  </si>
  <si>
    <t>iss(3%)</t>
  </si>
  <si>
    <t>CPRB</t>
  </si>
  <si>
    <t>RESPONSÁVEL TÉCNICO:</t>
  </si>
  <si>
    <t>RESPONSÁVEL LEGAL:</t>
  </si>
  <si>
    <t>CONTRIBUIÇÃO PREVIDENCIÁRIA: ORÇAMENTO COM A DESONERAÇÃO PREVISTA NA LEI 13.161/2015</t>
  </si>
  <si>
    <t>TIPO DE OBRA: OBRA DE EDIFICAÇÃO</t>
  </si>
  <si>
    <t>5,73+5,56</t>
  </si>
  <si>
    <t>REMOÇÃO DE JANELAS</t>
  </si>
  <si>
    <t>JANELAS 2,00m  X 1,20m</t>
  </si>
  <si>
    <t xml:space="preserve">REMOÇÃO DE PORTAS </t>
  </si>
  <si>
    <t>PORTA 1,20m X 2,15m</t>
  </si>
  <si>
    <t>ÁREA CONFORME PROJETO ARQUITETÔNICO</t>
  </si>
  <si>
    <t>P01</t>
  </si>
  <si>
    <t>P02</t>
  </si>
  <si>
    <t>COBERTURA METÁLICA</t>
  </si>
  <si>
    <t>DEMOLIÇÕES E REMOÇÕES</t>
  </si>
  <si>
    <t xml:space="preserve">ALVENARIA E REVESTIMENTOS </t>
  </si>
  <si>
    <t xml:space="preserve">ESQUADRIAS </t>
  </si>
  <si>
    <t xml:space="preserve">COBERTURA </t>
  </si>
  <si>
    <t xml:space="preserve">PINTURA </t>
  </si>
  <si>
    <t>INSTALAÇÕES</t>
  </si>
  <si>
    <t>De 3,00% até 5,50%</t>
  </si>
  <si>
    <t>De 0,80% até 1,00%</t>
  </si>
  <si>
    <t>De 0,97% até 1,27%</t>
  </si>
  <si>
    <t>De 0,59% até 1,39%</t>
  </si>
  <si>
    <t>De 6,16% até 8,96%</t>
  </si>
  <si>
    <t>UNID</t>
  </si>
  <si>
    <t>COEFICIENTE</t>
  </si>
  <si>
    <t>PREÇO UNITÁRIO</t>
  </si>
  <si>
    <t xml:space="preserve">TOTAL DO SERVIÇO  </t>
  </si>
  <si>
    <t>ESCADA DE ACESSO</t>
  </si>
  <si>
    <t>J01</t>
  </si>
  <si>
    <t>UN</t>
  </si>
  <si>
    <t xml:space="preserve"> REFORMA DE CASA DE BOMBAS PARA DRENAGEM DE ÁGUAS PLUVIAIS EM BACIA DE ACUMULAÇÃO </t>
  </si>
  <si>
    <t>ED-28427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</si>
  <si>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</si>
  <si>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ED-48435</t>
  </si>
  <si>
    <t>DEMOLIÇÃO MANUAL DE ALVENARIA DE TIJOLO CERÂMICO OU BLOCO DE CONCRETO, INCLUSIVE AFASTAMENTO E EMPILHAMENTO, EXCLUSIVE TRANSPORTE E RETIRADA DO MATERIAL DEMOLIDO</t>
  </si>
  <si>
    <t>ED-48501</t>
  </si>
  <si>
    <t>DEMOLIÇÃO MANUAL DE REBOCO OU EMBOÇO, COM ESPESSURA DE ATÉ 55MM, INCLUSIVE AFASTAMENTO E EMPILHAMENTO, EXCLUSIVE TRANSPORTE E RETIRADA DO MATERIAL DEMOLIDO</t>
  </si>
  <si>
    <t>97645</t>
  </si>
  <si>
    <t>REMOÇÃO DE JANELAS, DE FORMA MANUAL, SEM REAPROVEITAMENTO. AF_09/2023</t>
  </si>
  <si>
    <t>97644</t>
  </si>
  <si>
    <t>REMOÇÃO DE PORTAS, DE FORMA MANUAL, SEM REAPROVEITAMENTO. AF_09/2023</t>
  </si>
  <si>
    <t>97647</t>
  </si>
  <si>
    <t>REMOÇÃO DE TELHAS DE FIBROCIMENTO METÁLICA E CERÂMICA, DE FORMA MANUAL, SEM REAPROVEITAMENTO. AF_09/2023</t>
  </si>
  <si>
    <t>89480</t>
  </si>
  <si>
    <t>ALVENARIA DE BLOCOS DE CONCRETO ESTRUTURAL 14X19X29 CM (ESPESSURA 14 CM), FBK = 14 MPA, UTILIZANDO COLHER DE PEDREIRO. AF_10/2022</t>
  </si>
  <si>
    <t>87905</t>
  </si>
  <si>
    <t>CHAPISCO APLICADO EM ALVENARIA (COM PRESENÇA DE VÃOS) E ESTRUTURAS DE CONCRETO DE FACHADA, COM COLHER DE PEDREIRO. ARGAMASSA TRAÇO 1:3 COM PREPARO EM BETONEIRA 400L. AF_10/2022</t>
  </si>
  <si>
    <t>ED-50761</t>
  </si>
  <si>
    <t>REBOCO COM ARGAMASSA, TRAÇO 1:2:8 (CIMENTO, CAL E AREIA), ESP. 20MM, APLICAÇÃO MANUAL, INCLUSIVE ARGAMASSA COM PREPARO MECANIZADO, EXCLUSIVE CHAPISCO</t>
  </si>
  <si>
    <t>ED-23034</t>
  </si>
  <si>
    <t>PORTA METÁLICA, TIPO DE ABRIR, COM UMA (1) FOLHA, EM CHAPA GALVANIZADA LAMBRIL, MODELO QUADRADO, INCLUSIVE PINTURA ANTICORROSIVA A BASE DE ÓXIDO DE FERRO (ZARCÃO), UMA (1) DEMÃO, FORNECIMENTO E ASSENTAMENTO, EXCLUSIVE FECHADURA E DOBRADIÇA</t>
  </si>
  <si>
    <t>ED-23033</t>
  </si>
  <si>
    <t>FERRAGENS PARA PORTA METÁLICA, DE ABRIR, COM UMA (1) FOLHAS, INCLUSIVE FECHADURA TIPO EXTERNA COM GRAU DE SEGURANÇA MÉDIO, ACABAMENTO EM ESPELHO CROMADO COM MAÇANETA MODELO ALAVANCA EM ZAMAC E DOBRADIÇA DE FERRO, MEDIDAS (3"X2.1/2"), TIPO PINO SOLTO COM BOLA, ACABAMENTO CROMADO, FORNECIMENTO, ACESSÓRIOS E INSTALAÇÃO, EXCLUSIVE PORTA METÁLICA</t>
  </si>
  <si>
    <t>ED-48428</t>
  </si>
  <si>
    <t>COBERTURA EM TELHA METÁLICA GALVANIZADA TRAPEZOIDAL, TIPO SIMPLES, ESP. 0,50MM, ACABAMENTO NATURAL, INCLUSIVE ACESSÓRIOS PARA FIXAÇÃO, FORNECIMENTO E INSTALAÇÃO</t>
  </si>
  <si>
    <t>92580</t>
  </si>
  <si>
    <t>TRAMA DE AÇO COMPOSTA POR TERÇAS PARA TELHADOS DE ATÉ 2 ÁGUAS PARA TELHA ONDULADA DE FIBROCIMENTO, METÁLICA, PLÁSTICA OU TERMOACÚSTICA, INCLUSO TRANSPORTE VERTICAL. AF_07/2019</t>
  </si>
  <si>
    <t>88485</t>
  </si>
  <si>
    <t>FUNDO SELADOR ACRÍLICO, APLICAÇÃO MANUAL EM PAREDE, UMA DEMÃO. AF_04/2023</t>
  </si>
  <si>
    <t>ED-50451</t>
  </si>
  <si>
    <t>PINTURA ACRÍLICA EM PAREDE, DUAS (2) DEMÃOS, COM APLICAÇÃO MANUAL, EXCLUSIVE SELADOR ACRÍLICO E MASSA ACRÍLICA/CORRIDA (PVA)</t>
  </si>
  <si>
    <t>100757</t>
  </si>
  <si>
    <t>PINTURA COM TINTA ALQUÍDICA DE ACABAMENTO (ESMALTE SINTÉTICO ACETINADO) PULVERIZADA SOBRE SUPERFÍCIES METÁLICAS (EXCETO PERFIL) EXECUTADO EM OBRA (02 DEMÃOS). AF_01/2020_PE</t>
  </si>
  <si>
    <t>m3</t>
  </si>
  <si>
    <t>m2</t>
  </si>
  <si>
    <t>M2</t>
  </si>
  <si>
    <t>PREFEITURA MUNICIPAL DE SÃO FRANCISCO-MG</t>
  </si>
  <si>
    <t>CASA DE BOMBAS - PEIXE VIVO</t>
  </si>
  <si>
    <t>104789</t>
  </si>
  <si>
    <t>DEMOLIÇÃO DE PISO DE CONCRETO SIMPLES, DE FORMA MANUAL, SEM REAPROVEITAMENTO. AF_09/2023</t>
  </si>
  <si>
    <t>M3</t>
  </si>
  <si>
    <t>ED-51110</t>
  </si>
  <si>
    <t>ESCAVAÇÃO MANUAL DE TERRA (DESATERRO MANUAL), INCLUSIVE DESCARGA LATERAL, EXCLUSIVE RETIRADA E TRANSPORTE DO MATERIAL ESCAVADO</t>
  </si>
  <si>
    <t>ED-50508</t>
  </si>
  <si>
    <t>LIXAMENTO MANUAL EM SUPERFÍCIE METÁLICA PARA REMOÇÃO DE TINTA E/OU FUNDO ANTICORROSIVA</t>
  </si>
  <si>
    <t>ED-50505</t>
  </si>
  <si>
    <t>LIXAMENTO MANUAL EM PAREDE PARA REMOÇÃO DE TINTA</t>
  </si>
  <si>
    <t>ED-50506</t>
  </si>
  <si>
    <t>LIXAMENTO MANUAL EM TETO PARA REMOÇÃO DE TINTA</t>
  </si>
  <si>
    <t>KG</t>
  </si>
  <si>
    <t>ED-50983</t>
  </si>
  <si>
    <t>PORTÃO DE GRADE EM BARRA REDONDA 1/2" E REQUADRO EM BARRA CHATA 1.1/4"X3/16", EXCLUSIVE CADEADO E PINTURA</t>
  </si>
  <si>
    <t>88484</t>
  </si>
  <si>
    <t>FUNDO SELADOR ACRÍLICO, APLICAÇÃO MANUAL EM TETO, UMA DEMÃO. AF_04/2023</t>
  </si>
  <si>
    <t>ED-50452</t>
  </si>
  <si>
    <t>PINTURA ACRÍLICA EM TETO, DUAS (2) DEMÃOS, COM APLICAÇÃO MANUAL, EXCLUSIVE SELADOR ACRÍLICO E MASSA ACRÍLICA/CORRIDA (PVA)</t>
  </si>
  <si>
    <t>ED-50459</t>
  </si>
  <si>
    <t>PINTURA ACRÍLICA PARA PISO EM PASSEIO/SUPERFÍCIE CIMENTADA, DUAS (2) DEMÃOS, COM APLICAÇÃO MANUAL</t>
  </si>
  <si>
    <t>ED-9076</t>
  </si>
  <si>
    <t>FORNECIMENTO DE ANDAIME METÁLICO TUBULAR TIPO TORRE (LOCAÇÃO), INCLUSIVE RODÍZIOS, EXCLUSIVE MONTAGEM E DESMONTAGEM</t>
  </si>
  <si>
    <t>mxmês</t>
  </si>
  <si>
    <t>ED-13343</t>
  </si>
  <si>
    <t>LÂMPADA LED, BASE E27, POTÊNCIA 15W, BULBO A65, TEMPERATURA DA COR 6500K, TENSÃO 110-127V, FORNECIMENTO E INSTALAÇÃO, EXCLUSIVE LUMINÁRIA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</si>
  <si>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</si>
  <si>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</si>
  <si>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</si>
  <si>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</si>
  <si>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</si>
  <si>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</si>
  <si>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</si>
  <si>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</si>
  <si>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</si>
  <si>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</si>
  <si>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</si>
  <si>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</si>
  <si>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</si>
  <si>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</si>
  <si>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</si>
  <si>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</si>
  <si>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</si>
  <si>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</si>
  <si>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</si>
  <si>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</si>
  <si>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2.3.4</t>
  </si>
  <si>
    <t>2.4</t>
  </si>
  <si>
    <t>2.5</t>
  </si>
  <si>
    <t>2.4.1</t>
  </si>
  <si>
    <t>2.4.2</t>
  </si>
  <si>
    <t>2.5.1</t>
  </si>
  <si>
    <t>2.5.2</t>
  </si>
  <si>
    <t>2.5.3</t>
  </si>
  <si>
    <t>2.5.4</t>
  </si>
  <si>
    <t>2.5.5</t>
  </si>
  <si>
    <t>2.5.6</t>
  </si>
  <si>
    <t>2.5.7</t>
  </si>
  <si>
    <t>2.6</t>
  </si>
  <si>
    <t>2.6.1</t>
  </si>
  <si>
    <t>2.7</t>
  </si>
  <si>
    <t>CONSTRUÇÃO DA ESCADA</t>
  </si>
  <si>
    <t>2.7.1</t>
  </si>
  <si>
    <t>MOVIMENTO DE TERRA</t>
  </si>
  <si>
    <t>FUNDAÇÃO</t>
  </si>
  <si>
    <t>2.7.1.1</t>
  </si>
  <si>
    <t>2.7.1.2</t>
  </si>
  <si>
    <t>2.7.2.1</t>
  </si>
  <si>
    <t>2.7.2</t>
  </si>
  <si>
    <t>2.7.2.2</t>
  </si>
  <si>
    <t>2.7.2.3</t>
  </si>
  <si>
    <t>2.7.2.4</t>
  </si>
  <si>
    <t>2.7.2.5</t>
  </si>
  <si>
    <t>2.7.2.6</t>
  </si>
  <si>
    <t>2.7.2.7</t>
  </si>
  <si>
    <t>2.7.2.8</t>
  </si>
  <si>
    <t>2.7.2.9</t>
  </si>
  <si>
    <t>2.7.2.10</t>
  </si>
  <si>
    <t>2.7.2.11</t>
  </si>
  <si>
    <t>2.7.2.12</t>
  </si>
  <si>
    <t>ED-51107</t>
  </si>
  <si>
    <t>ESCAVAÇÃO MANUAL DE VALA COM PROFUNDIDADE MENOR OU IGUAL A 1,5M, INCLUSIVE DESCARGA LATERAL</t>
  </si>
  <si>
    <t>ED-51120</t>
  </si>
  <si>
    <t>REATERRO MANUAL DE VALA, INCLUSIVE ESPALHAMENTO E COMPACTAÇÃO MANUAL COM SOQUETE</t>
  </si>
  <si>
    <t>ESTACA BROCA DE CONCRETO, DIÂMETRO DE 30CM, ESCAVAÇÃO MANUAL COM TRADO CONCHA, SEM ARMADURA</t>
  </si>
  <si>
    <t>M</t>
  </si>
  <si>
    <t>ED-51093</t>
  </si>
  <si>
    <t>APILOAMENTO MANUAL EM FUNDO DE VALA COM SOQUETE, EXCLUSIVE ESCAVAÇÃO</t>
  </si>
  <si>
    <t>ED-48311</t>
  </si>
  <si>
    <t>CONCRETO MAGRO, TRAÇO 1:3:6, PREPARADO EM OBRA COM BETONEIRA, SEM FUNÇÃO ESTRUTURAL</t>
  </si>
  <si>
    <t>96540</t>
  </si>
  <si>
    <t>FABRICAÇÃO, MONTAGEM E DESMONTAGEM DE FÔRMA PARA BLOCO DE COROAMENTO, EM CHAPA DE MADEIRA COMPENSADA RESINADA, E=17 MM, 4 UTILIZAÇÕES. AF_01/2024</t>
  </si>
  <si>
    <t>96542</t>
  </si>
  <si>
    <t>FABRICAÇÃO, MONTAGEM E DESMONTAGEM DE FÔRMA PARA VIGA BALDRAME, EM CHAPA DE MADEIRA COMPENSADA RESINADA, E=17 MM, 4 UTILIZAÇÕES. AF_01/2024</t>
  </si>
  <si>
    <t>ED-31563</t>
  </si>
  <si>
    <t>FÔRMA E DESFORMA PARA PILAR COM CHAPA DE COMPENSADO PLASTIFICADO, ESP. 14MM, REAPROVEITAMENTO (5X), EXCLUSIVE ESCORAMENTO</t>
  </si>
  <si>
    <t>92800</t>
  </si>
  <si>
    <t>CORTE E DOBRA DE AÇO CA-60, DIÂMETRO DE 5,0 MM. AF_06/2022</t>
  </si>
  <si>
    <t>92801</t>
  </si>
  <si>
    <t>CORTE E DOBRA DE AÇO CA-50, DIÂMETRO DE 6,3 MM. AF_06/2022</t>
  </si>
  <si>
    <t>92802</t>
  </si>
  <si>
    <t>CORTE E DOBRA DE AÇO CA-50, DIÂMETRO DE 8,0 MM. AF_06/2022</t>
  </si>
  <si>
    <t>92803</t>
  </si>
  <si>
    <t>CORTE E DOBRA DE AÇO CA-50, DIÂMETRO DE 10,0 MM. AF_06/2022</t>
  </si>
  <si>
    <t>92804</t>
  </si>
  <si>
    <t>CORTE E DOBRA DE AÇO CA-50, DIÂMETRO DE 12,5 MM. AF_06/2022</t>
  </si>
  <si>
    <t>ED-49787</t>
  </si>
  <si>
    <t>FORNECIMENTO DE CONCRETO ESTRUTURAL, PREPARADO EM OBRA COM BETONEIRA, COM FCK 25MPA, INCLUSIVE LANÇAMENTO, ADENSAMENTO E ACABAMENTO (FUNDAÇÃO)</t>
  </si>
  <si>
    <t>m</t>
  </si>
  <si>
    <t>PAREDES LATERIAIS</t>
  </si>
  <si>
    <t>OK</t>
  </si>
  <si>
    <t>REBOCO DA PASSARELA</t>
  </si>
  <si>
    <t>1,10+0,23+1,25</t>
  </si>
  <si>
    <t>Largura (m)</t>
  </si>
  <si>
    <t>Volume total (m³)</t>
  </si>
  <si>
    <t>GRADIL</t>
  </si>
  <si>
    <t>Descontos (m²)</t>
  </si>
  <si>
    <t>3,08+3,08</t>
  </si>
  <si>
    <t>NÍVEL INFERIOR - INTERNO</t>
  </si>
  <si>
    <t xml:space="preserve">FRENTE </t>
  </si>
  <si>
    <t>LATERAL DIREITA</t>
  </si>
  <si>
    <t>FUNDO</t>
  </si>
  <si>
    <t>LATERIAL  ESQUERDA</t>
  </si>
  <si>
    <t>NÍVEL SUPERIOR FRENTE  - INTERNO</t>
  </si>
  <si>
    <t>NÍVEL SUPERIOR LATERAL DIR - INTERNO</t>
  </si>
  <si>
    <t>NÍVEL SUPERIOR LATERAL ESQ - INTERNO</t>
  </si>
  <si>
    <t>NÍVEL SUPERIOR FUNDO - INTERNO</t>
  </si>
  <si>
    <t>LAJE</t>
  </si>
  <si>
    <t>COBERTURA</t>
  </si>
  <si>
    <t>SOLO DO BARRAMENTO</t>
  </si>
  <si>
    <t>PISO DE ACESSO A COMPORTA</t>
  </si>
  <si>
    <t>PAREDES LATERAIS</t>
  </si>
  <si>
    <t>5,73+0,305+6,13+5,56+0,3+5,95</t>
  </si>
  <si>
    <t>PASSARELA</t>
  </si>
  <si>
    <t>JANELA 2,00 X 1,20m</t>
  </si>
  <si>
    <t>PORTA DE GRADIL 0,80m X 2,10m</t>
  </si>
  <si>
    <t>1,10+0,23+1,25+1,10+0,23+1,25</t>
  </si>
  <si>
    <t>PISO SUPERIOR</t>
  </si>
  <si>
    <t>GRADIL + PORTA</t>
  </si>
  <si>
    <t>1,20X2,15M</t>
  </si>
  <si>
    <t>2,00X1,20M</t>
  </si>
  <si>
    <t>3,08X4,00</t>
  </si>
  <si>
    <t>LOCAÇÃO DE ANDAIME PARA PINTURA</t>
  </si>
  <si>
    <t>Total (mxmês)</t>
  </si>
  <si>
    <t>0,6X0,6</t>
  </si>
  <si>
    <t>Comp. (m) + 10cm para formas</t>
  </si>
  <si>
    <t>Larg. (m) + 10cm para formas</t>
  </si>
  <si>
    <t>Alt. (m) + 3cm para lastro</t>
  </si>
  <si>
    <t>Profundidade (m)</t>
  </si>
  <si>
    <t>Volume Total (m³)</t>
  </si>
  <si>
    <t>Comprimento Total (m)</t>
  </si>
  <si>
    <t>Área Total (m²)</t>
  </si>
  <si>
    <t>V1 = V4 = V7 = V10</t>
  </si>
  <si>
    <t>V2 = V3</t>
  </si>
  <si>
    <t>V5 = V6</t>
  </si>
  <si>
    <t>V8 = V9</t>
  </si>
  <si>
    <t xml:space="preserve">P1 = P2 = P3 = P4 = P5 = P6 = P7 = P8 </t>
  </si>
  <si>
    <t>QUANTIDADE CONFORME PROJETO ESTRUTURAL</t>
  </si>
  <si>
    <t>Peso (Kg)</t>
  </si>
  <si>
    <t>Peso Total (Kg)</t>
  </si>
  <si>
    <t>B1 = B2 = B3 = B4 = B5 = B6 = B7 = B8</t>
  </si>
  <si>
    <t>PERFIL METÁLICO</t>
  </si>
  <si>
    <t>FORNECIMENTO DE JANELA DE CORRER EM FERRO, INCLUSIVE ASSENTAMENTO, FERRAGENS E ACESSÓRIOS</t>
  </si>
  <si>
    <t>ED-50955</t>
  </si>
  <si>
    <t>2.6.2</t>
  </si>
  <si>
    <t>2.6.3</t>
  </si>
  <si>
    <t>2.6.4</t>
  </si>
  <si>
    <t>2.6.5</t>
  </si>
  <si>
    <t>ED-49317</t>
  </si>
  <si>
    <t>ELETRODUTO DE AÇO GALVANIZADO LEVE, INCLUSIVE CONEXÕES, SUPORTES E FIXAÇÃO DN 20 (3/4")</t>
  </si>
  <si>
    <t>ED-48946</t>
  </si>
  <si>
    <t>CABO DE COBRE FLEXÍVEL, CLASSE 5, ISOLAMENTO TIPO LSHF/ATOX, NÃO HALOGENADO, ANTICHAMA, TERMOPLÁSTICO, UNIPOLAR, SEÇÃO 1,5 MM2, 70°C, 450/750V</t>
  </si>
  <si>
    <t>103782</t>
  </si>
  <si>
    <t>LUMINÁRIA TIPO PLAFON CIRCULAR, DE SOBREPOR, COM LED DE 12/13 W - FORNECIMENTO E INSTALAÇÃO. AF_09/2024</t>
  </si>
  <si>
    <t>91953</t>
  </si>
  <si>
    <t>INTERRUPTOR SIMPLES (1 MÓDULO), 10A/250V, INCLUINDO SUPORTE E PLACA - FORNECIMENTO E INSTALAÇÃO. AF_03/2023</t>
  </si>
  <si>
    <t>Volume escavado (m³)</t>
  </si>
  <si>
    <r>
      <t>Volume lastro (m</t>
    </r>
    <r>
      <rPr>
        <b/>
        <i/>
        <sz val="11"/>
        <rFont val="Arial"/>
        <family val="2"/>
      </rPr>
      <t>³</t>
    </r>
    <r>
      <rPr>
        <b/>
        <sz val="11"/>
        <rFont val="Arial"/>
        <family val="2"/>
      </rPr>
      <t>)</t>
    </r>
  </si>
  <si>
    <t>Volume concreto (m³)</t>
  </si>
  <si>
    <t>2.2.5</t>
  </si>
  <si>
    <t>CASA DE BOMBAS - QUEBRA</t>
  </si>
  <si>
    <t>ED-49660</t>
  </si>
  <si>
    <t>ESCARIFICAÇÃO MANUAL EM PEÇA DE CONCRETO, COM PROFUNDIDADE MÁXIMA DE ATÉ 3CM, INCLUSIVE LIMPEZA DA SEÇÃO ESCARIFICADA, TRANSPORTE E RETIRADA DO MATERIAL DEMOLIDO, EXCLUSIVE RECOMPOSIÇÃO EM ARGAMASSA OU CONCRETO</t>
  </si>
  <si>
    <t>ORSE</t>
  </si>
  <si>
    <t>S12947</t>
  </si>
  <si>
    <t>Remoção de tubo galvanizado, bitolas diversas</t>
  </si>
  <si>
    <t>ED-50762</t>
  </si>
  <si>
    <t>APLICAÇÃO DE GRAUTE FLUIDO INDUSTRIALIZADO, PARA ANCORAGENS E/OU RECUPERAÇÃO EM PEÇAS ESTRUTURAIS E USO EM GERAL, INCLUSIVE PREPARO EM BETONEIRA E LANÇAMENTO</t>
  </si>
  <si>
    <t>ED-49662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</si>
  <si>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</si>
  <si>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</si>
  <si>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</si>
  <si>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</si>
  <si>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</si>
  <si>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</si>
  <si>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</si>
  <si>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</si>
  <si>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</si>
  <si>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</si>
  <si>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</si>
  <si>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3.2</t>
  </si>
  <si>
    <t>3.2.2</t>
  </si>
  <si>
    <t>3.2.3</t>
  </si>
  <si>
    <t>3.2.4</t>
  </si>
  <si>
    <t>3.3</t>
  </si>
  <si>
    <t>3.3.1</t>
  </si>
  <si>
    <t>3.3.2</t>
  </si>
  <si>
    <t>3.3.3</t>
  </si>
  <si>
    <t>3.3.4</t>
  </si>
  <si>
    <t>3.4</t>
  </si>
  <si>
    <t>3.4.1</t>
  </si>
  <si>
    <t>3.4.2</t>
  </si>
  <si>
    <t>3.5</t>
  </si>
  <si>
    <t>3.5.1</t>
  </si>
  <si>
    <t>3.5.2</t>
  </si>
  <si>
    <t>3.5.3</t>
  </si>
  <si>
    <t>3.5.4</t>
  </si>
  <si>
    <t>3.5.5</t>
  </si>
  <si>
    <t>3.5.6</t>
  </si>
  <si>
    <t>3.5.7</t>
  </si>
  <si>
    <t>3.6</t>
  </si>
  <si>
    <t>3.6.1</t>
  </si>
  <si>
    <t>3.6.2</t>
  </si>
  <si>
    <t>3.6.3</t>
  </si>
  <si>
    <t>3.6.4</t>
  </si>
  <si>
    <t>3.6.5</t>
  </si>
  <si>
    <t>3.7</t>
  </si>
  <si>
    <t>3.7.1</t>
  </si>
  <si>
    <t>3.7.1.1</t>
  </si>
  <si>
    <t>3.7.1.2</t>
  </si>
  <si>
    <t>3.7.2</t>
  </si>
  <si>
    <t>3.7.2.1</t>
  </si>
  <si>
    <t>3.7.2.2</t>
  </si>
  <si>
    <t>3.7.2.3</t>
  </si>
  <si>
    <t>3.7.2.4</t>
  </si>
  <si>
    <t>3.7.2.5</t>
  </si>
  <si>
    <t>3.7.2.6</t>
  </si>
  <si>
    <t>3.7.2.7</t>
  </si>
  <si>
    <t>3.7.2.8</t>
  </si>
  <si>
    <t>3.7.2.9</t>
  </si>
  <si>
    <t>3.7.2.10</t>
  </si>
  <si>
    <t>3.7.2.11</t>
  </si>
  <si>
    <t>3.7.2.12</t>
  </si>
  <si>
    <t>CANTOS NÍVEL INFERIOR</t>
  </si>
  <si>
    <t>PARTE DE BAIXO DA PASSARELA</t>
  </si>
  <si>
    <t>0,90+0,23+1,05</t>
  </si>
  <si>
    <t>REMOÇÃO DE GURADA-CORPO</t>
  </si>
  <si>
    <t>0,30+5,56+6,36+5,73+0,305+6,36</t>
  </si>
  <si>
    <t>3.2.1</t>
  </si>
  <si>
    <t>Desconto (m²)</t>
  </si>
  <si>
    <t>0,90+0,23+1,05+0,90+0,23+1,05</t>
  </si>
  <si>
    <t>PEDREIRO COM ENCARGOS COMPLEMENTARES</t>
  </si>
  <si>
    <t>SERVENTE COM ENCARGOS COMPLEMENTARES</t>
  </si>
  <si>
    <t>88309</t>
  </si>
  <si>
    <t>88316</t>
  </si>
  <si>
    <t>94970</t>
  </si>
  <si>
    <t>CONCRETO FCK = 20MPA, TRAÇO 1:2,7:3 (EM MASSA SECA DE CIMENTO/ AREIA MÉDIA/ BRITA 1) - PREPARO MECÂNICO COM BETONEIRA 600 L. AF_05/2021</t>
  </si>
  <si>
    <t>CPU</t>
  </si>
  <si>
    <t>LOCAL: RUA DE GESÉLIO GENEROSO E AVENIDA PRESIDENTE DUTRA, S/N EM SÃO FRANCISCO-MG</t>
  </si>
  <si>
    <t>REGIÃO/MÊS DE REFERÊNCIA: SINAPI DES 09/2025 - SETOP DES 07/2025 NORTE - ORESE  09/2025 - COMPOSIÇÕES PRÓPRIAS</t>
  </si>
  <si>
    <t>PISO DA ESCADA</t>
  </si>
  <si>
    <t>ok</t>
  </si>
  <si>
    <t>PISO DE CONCRETO</t>
  </si>
  <si>
    <t>3.2.5</t>
  </si>
  <si>
    <t>3.2.6</t>
  </si>
  <si>
    <t>ALVENARIA E REVESTIMENTO</t>
  </si>
  <si>
    <t>ESCADA DE ACESSO - ESPELHOS</t>
  </si>
  <si>
    <t>ESCADA DE ACESSO - PISOS</t>
  </si>
  <si>
    <t>Desc. (m²)</t>
  </si>
  <si>
    <t>EXECUÇÃO DE PASSEIO (CALÇADA) OU PISO DE CONCRETO COM CONCRETO MOLDADO IN LOCO, FEITO EM OBRA, ACABAMENTO CONVENCIONAL, NÃO ARMADO. AF_08/2022</t>
  </si>
  <si>
    <t>94990</t>
  </si>
  <si>
    <t>OBRA: REFORMA DE CASAS DE BOMBAS PARA DRENAGEM DE ÁGUAS PLUVIAIS EM BACIAS DE ACUMULAÇÃO NO MUNICÍPIO DE SÃO FRANCISCO-MG</t>
  </si>
  <si>
    <t>Perímetro</t>
  </si>
  <si>
    <t>Altura</t>
  </si>
  <si>
    <t>Meses</t>
  </si>
  <si>
    <t>Repete</t>
  </si>
  <si>
    <t>Volume (m³)</t>
  </si>
  <si>
    <t>2.1.11</t>
  </si>
  <si>
    <t>2.1.12</t>
  </si>
  <si>
    <t>CARGA, MANOBRA E DESCARGA DE ENTULHO EM CAMINHÃO BASCULANTE 10 M³ - CARGA COM ESCAVADEIRA HIDRÁULICA (CAÇAMBA DE 0,80 M³ / 111 HP) E DESCARGA LIVRE (UNIDADE: M3). AF_07/2020</t>
  </si>
  <si>
    <t>TRANSPORTE DE MATERIAL DE QUALQUER NATUREZA EM CAMINHÃO, DISTÂNCIA MAIOR QUE 2KM E MENOR OU IGUAL A 5KM, DENTRO DO PERÍMETRO URBANO, EXCLUSIVE CARGA, INCLUSIVE DESCARGA</t>
  </si>
  <si>
    <t>100982</t>
  </si>
  <si>
    <t>ED-29231</t>
  </si>
  <si>
    <t>REBOCO COM ARGAMASSA, TRAÇO 1:2:9 (CIMENTO, CAL E AREIA), COM ADITIVO IMPERMEABILIZANTE, ESP. 20MM, APLICAÇÃO MANUAL, INCLUSIVE ARGAMASSA COM PREPARO MECANIZADO, EXCLUSIVE CHAPISCO</t>
  </si>
  <si>
    <t>ED-50760</t>
  </si>
  <si>
    <t>M3xKM</t>
  </si>
  <si>
    <t>3.1.11</t>
  </si>
  <si>
    <t>3.1.12</t>
  </si>
  <si>
    <t>DMT (km)</t>
  </si>
  <si>
    <t>Transporte total</t>
  </si>
  <si>
    <t>COMP.</t>
  </si>
  <si>
    <t>LARG.</t>
  </si>
  <si>
    <t>ESPESSURA</t>
  </si>
  <si>
    <t>VOLUME</t>
  </si>
  <si>
    <t>AREA</t>
  </si>
  <si>
    <t>comprimento total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</si>
</sst>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#,##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&quot;R$ &quot;#,##0.00_);[Red]\(&quot;R$ &quot;#,##0.00\)"/>
    <numFmt numFmtId="169" formatCode="_-* #,##0.000_-;\-* #,##0.000_-;_-* &quot;-&quot;??_-;_-@_-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theme="4" tint="-0.249977111117893"/>
      <name val="Arial"/>
      <family val="2"/>
    </font>
    <font>
      <b/>
      <i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</cellStyleXfs>
  <cellXfs count="431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2" fontId="3" fillId="2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1" fillId="4" borderId="0" xfId="4" applyFill="1" applyAlignment="1">
      <alignment wrapText="1"/>
    </xf>
    <xf numFmtId="0" fontId="1" fillId="4" borderId="0" xfId="4" applyFill="1"/>
    <xf numFmtId="0" fontId="8" fillId="2" borderId="1" xfId="4" applyFont="1" applyFill="1" applyBorder="1" applyAlignment="1">
      <alignment horizontal="center" vertical="center"/>
    </xf>
    <xf numFmtId="10" fontId="0" fillId="0" borderId="0" xfId="0" applyNumberFormat="1"/>
    <xf numFmtId="0" fontId="18" fillId="0" borderId="0" xfId="0" applyFont="1" applyProtection="1">
      <protection locked="0"/>
    </xf>
    <xf numFmtId="0" fontId="18" fillId="0" borderId="0" xfId="0" applyFont="1"/>
    <xf numFmtId="0" fontId="19" fillId="0" borderId="0" xfId="0" applyFont="1" applyAlignment="1" applyProtection="1">
      <alignment vertical="center"/>
      <protection locked="0"/>
    </xf>
    <xf numFmtId="0" fontId="1" fillId="0" borderId="0" xfId="1"/>
    <xf numFmtId="0" fontId="1" fillId="2" borderId="0" xfId="1" applyFill="1"/>
    <xf numFmtId="0" fontId="13" fillId="2" borderId="0" xfId="1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2" fontId="18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1" fillId="0" borderId="0" xfId="0" applyFont="1"/>
    <xf numFmtId="0" fontId="2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7" borderId="0" xfId="0" applyFont="1" applyFill="1"/>
    <xf numFmtId="164" fontId="17" fillId="4" borderId="4" xfId="3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2" fontId="1" fillId="0" borderId="1" xfId="5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4" fontId="19" fillId="0" borderId="0" xfId="0" applyNumberFormat="1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44" fontId="27" fillId="0" borderId="1" xfId="3" applyFont="1" applyBorder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4" fillId="0" borderId="0" xfId="0" applyFont="1"/>
    <xf numFmtId="4" fontId="16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9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3" xfId="0" applyFont="1" applyBorder="1" applyAlignment="1">
      <alignment horizontal="center" vertical="center" wrapText="1"/>
    </xf>
    <xf numFmtId="10" fontId="34" fillId="0" borderId="24" xfId="2" applyNumberFormat="1" applyFont="1" applyFill="1" applyBorder="1" applyAlignment="1" applyProtection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10" fontId="31" fillId="0" borderId="1" xfId="0" applyNumberFormat="1" applyFont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36" fillId="0" borderId="1" xfId="22" applyFont="1" applyBorder="1"/>
    <xf numFmtId="0" fontId="36" fillId="0" borderId="24" xfId="22" applyFont="1" applyBorder="1"/>
    <xf numFmtId="0" fontId="30" fillId="0" borderId="23" xfId="22" applyFont="1" applyBorder="1" applyAlignment="1">
      <alignment horizontal="left" vertical="center"/>
    </xf>
    <xf numFmtId="10" fontId="31" fillId="0" borderId="1" xfId="2" applyNumberFormat="1" applyFont="1" applyFill="1" applyBorder="1" applyAlignment="1" applyProtection="1">
      <alignment vertical="center"/>
    </xf>
    <xf numFmtId="10" fontId="36" fillId="0" borderId="1" xfId="22" applyNumberFormat="1" applyFont="1" applyBorder="1"/>
    <xf numFmtId="0" fontId="36" fillId="0" borderId="23" xfId="22" applyFont="1" applyBorder="1"/>
    <xf numFmtId="10" fontId="31" fillId="0" borderId="1" xfId="2" applyNumberFormat="1" applyFont="1" applyFill="1" applyBorder="1" applyAlignment="1" applyProtection="1"/>
    <xf numFmtId="0" fontId="36" fillId="0" borderId="23" xfId="22" applyFont="1" applyBorder="1" applyAlignment="1">
      <alignment wrapText="1"/>
    </xf>
    <xf numFmtId="10" fontId="31" fillId="0" borderId="1" xfId="2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43" fontId="27" fillId="0" borderId="1" xfId="5" applyFont="1" applyBorder="1" applyAlignment="1">
      <alignment horizontal="center" vertical="center"/>
    </xf>
    <xf numFmtId="169" fontId="27" fillId="0" borderId="1" xfId="5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4" fontId="8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3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8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0" borderId="0" xfId="0" applyFont="1" applyAlignment="1">
      <alignment horizontal="left" vertical="top" wrapText="1"/>
    </xf>
    <xf numFmtId="0" fontId="13" fillId="0" borderId="12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0" fontId="16" fillId="8" borderId="1" xfId="4" applyNumberFormat="1" applyFont="1" applyFill="1" applyBorder="1" applyAlignment="1">
      <alignment horizontal="center" vertical="center" wrapText="1"/>
    </xf>
    <xf numFmtId="165" fontId="1" fillId="9" borderId="1" xfId="3" applyNumberFormat="1" applyFont="1" applyFill="1" applyBorder="1" applyAlignment="1">
      <alignment horizontal="center" vertical="center" wrapText="1"/>
    </xf>
    <xf numFmtId="10" fontId="18" fillId="4" borderId="1" xfId="4" applyNumberFormat="1" applyFont="1" applyFill="1" applyBorder="1" applyAlignment="1">
      <alignment horizontal="center" vertical="center" wrapText="1"/>
    </xf>
    <xf numFmtId="10" fontId="18" fillId="0" borderId="1" xfId="4" applyNumberFormat="1" applyFont="1" applyBorder="1" applyAlignment="1">
      <alignment horizontal="center" vertical="center" wrapText="1"/>
    </xf>
    <xf numFmtId="165" fontId="18" fillId="4" borderId="1" xfId="3" applyNumberFormat="1" applyFont="1" applyFill="1" applyBorder="1" applyAlignment="1">
      <alignment horizontal="center" vertic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9" fontId="18" fillId="0" borderId="1" xfId="6" applyFont="1" applyFill="1" applyBorder="1" applyAlignment="1">
      <alignment horizontal="center" vertical="center" wrapText="1"/>
    </xf>
    <xf numFmtId="165" fontId="16" fillId="8" borderId="1" xfId="4" applyNumberFormat="1" applyFont="1" applyFill="1" applyBorder="1" applyAlignment="1">
      <alignment horizontal="center" vertical="center" wrapText="1"/>
    </xf>
    <xf numFmtId="49" fontId="19" fillId="4" borderId="1" xfId="4" applyNumberFormat="1" applyFont="1" applyFill="1" applyBorder="1" applyAlignment="1">
      <alignment horizontal="center" vertical="center" wrapText="1"/>
    </xf>
    <xf numFmtId="49" fontId="19" fillId="4" borderId="5" xfId="4" applyNumberFormat="1" applyFont="1" applyFill="1" applyBorder="1" applyAlignment="1">
      <alignment horizontal="center" vertical="center" wrapText="1"/>
    </xf>
    <xf numFmtId="165" fontId="16" fillId="8" borderId="5" xfId="4" applyNumberFormat="1" applyFont="1" applyFill="1" applyBorder="1" applyAlignment="1">
      <alignment horizontal="center" vertical="center" wrapText="1"/>
    </xf>
    <xf numFmtId="49" fontId="16" fillId="8" borderId="1" xfId="4" applyNumberFormat="1" applyFont="1" applyFill="1" applyBorder="1" applyAlignment="1">
      <alignment horizontal="center" vertical="center" wrapText="1"/>
    </xf>
    <xf numFmtId="49" fontId="1" fillId="9" borderId="1" xfId="4" applyNumberFormat="1" applyFill="1" applyBorder="1" applyAlignment="1">
      <alignment horizontal="center" vertical="center" wrapText="1"/>
    </xf>
    <xf numFmtId="49" fontId="18" fillId="4" borderId="1" xfId="4" applyNumberFormat="1" applyFont="1" applyFill="1" applyBorder="1" applyAlignment="1">
      <alignment horizontal="center" vertical="center" wrapText="1"/>
    </xf>
    <xf numFmtId="49" fontId="18" fillId="4" borderId="5" xfId="4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4" fontId="4" fillId="0" borderId="1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left" vertical="center" wrapText="1"/>
    </xf>
    <xf numFmtId="0" fontId="6" fillId="12" borderId="23" xfId="0" applyFont="1" applyFill="1" applyBorder="1" applyAlignment="1">
      <alignment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3" borderId="22" xfId="0" applyFont="1" applyFill="1" applyBorder="1" applyAlignment="1">
      <alignment vertical="center"/>
    </xf>
    <xf numFmtId="4" fontId="4" fillId="3" borderId="24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right"/>
    </xf>
    <xf numFmtId="4" fontId="4" fillId="5" borderId="24" xfId="0" applyNumberFormat="1" applyFont="1" applyFill="1" applyBorder="1" applyAlignment="1">
      <alignment horizontal="center"/>
    </xf>
    <xf numFmtId="0" fontId="4" fillId="0" borderId="21" xfId="0" applyFont="1" applyBorder="1"/>
    <xf numFmtId="0" fontId="4" fillId="0" borderId="30" xfId="0" applyFont="1" applyBorder="1" applyAlignment="1">
      <alignment horizontal="right"/>
    </xf>
    <xf numFmtId="0" fontId="4" fillId="0" borderId="31" xfId="0" applyFont="1" applyBorder="1"/>
    <xf numFmtId="0" fontId="6" fillId="11" borderId="23" xfId="0" applyFont="1" applyFill="1" applyBorder="1" applyAlignment="1">
      <alignment vertic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9" borderId="23" xfId="0" applyFont="1" applyFill="1" applyBorder="1" applyAlignment="1">
      <alignment vertical="center"/>
    </xf>
    <xf numFmtId="0" fontId="29" fillId="0" borderId="1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4" fontId="16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23" xfId="0" applyFont="1" applyFill="1" applyBorder="1" applyAlignment="1" applyProtection="1">
      <alignment horizontal="center" vertical="center" wrapText="1"/>
      <protection locked="0"/>
    </xf>
    <xf numFmtId="4" fontId="8" fillId="12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8" fillId="11" borderId="23" xfId="0" applyFont="1" applyFill="1" applyBorder="1" applyAlignment="1" applyProtection="1">
      <alignment horizontal="center" vertical="center" wrapText="1"/>
      <protection locked="0"/>
    </xf>
    <xf numFmtId="4" fontId="8" fillId="11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 applyProtection="1">
      <alignment horizontal="center" vertical="center" wrapText="1"/>
      <protection locked="0"/>
    </xf>
    <xf numFmtId="4" fontId="8" fillId="9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" fontId="19" fillId="0" borderId="19" xfId="0" applyNumberFormat="1" applyFont="1" applyBorder="1" applyAlignment="1" applyProtection="1">
      <alignment horizontal="center" vertical="center" wrapText="1"/>
      <protection locked="0"/>
    </xf>
    <xf numFmtId="0" fontId="26" fillId="3" borderId="8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 wrapText="1"/>
    </xf>
    <xf numFmtId="0" fontId="13" fillId="9" borderId="16" xfId="4" applyFont="1" applyFill="1" applyBorder="1" applyAlignment="1">
      <alignment horizontal="center" vertical="center" wrapText="1"/>
    </xf>
    <xf numFmtId="14" fontId="13" fillId="0" borderId="34" xfId="0" applyNumberFormat="1" applyFont="1" applyBorder="1" applyAlignment="1">
      <alignment horizontal="left" vertical="center"/>
    </xf>
    <xf numFmtId="0" fontId="13" fillId="0" borderId="33" xfId="0" applyFont="1" applyBorder="1" applyAlignment="1">
      <alignment vertical="center" wrapText="1"/>
    </xf>
    <xf numFmtId="0" fontId="26" fillId="3" borderId="3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44" fontId="27" fillId="0" borderId="24" xfId="3" applyFont="1" applyBorder="1" applyAlignment="1">
      <alignment vertical="center"/>
    </xf>
    <xf numFmtId="44" fontId="13" fillId="3" borderId="33" xfId="4" applyNumberFormat="1" applyFont="1" applyFill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/>
    </xf>
    <xf numFmtId="10" fontId="16" fillId="8" borderId="24" xfId="4" applyNumberFormat="1" applyFont="1" applyFill="1" applyBorder="1" applyAlignment="1">
      <alignment horizontal="center" vertical="center" wrapText="1"/>
    </xf>
    <xf numFmtId="165" fontId="1" fillId="9" borderId="24" xfId="3" applyNumberFormat="1" applyFont="1" applyFill="1" applyBorder="1" applyAlignment="1">
      <alignment horizontal="center" vertical="center" wrapText="1"/>
    </xf>
    <xf numFmtId="10" fontId="18" fillId="0" borderId="24" xfId="4" applyNumberFormat="1" applyFont="1" applyBorder="1" applyAlignment="1">
      <alignment horizontal="center" vertical="center" wrapText="1"/>
    </xf>
    <xf numFmtId="165" fontId="18" fillId="0" borderId="24" xfId="3" applyNumberFormat="1" applyFont="1" applyFill="1" applyBorder="1" applyAlignment="1">
      <alignment horizontal="center" vertical="center" wrapText="1"/>
    </xf>
    <xf numFmtId="9" fontId="18" fillId="0" borderId="24" xfId="6" applyFont="1" applyFill="1" applyBorder="1" applyAlignment="1">
      <alignment horizontal="center" vertical="center" wrapText="1"/>
    </xf>
    <xf numFmtId="165" fontId="16" fillId="8" borderId="24" xfId="4" applyNumberFormat="1" applyFont="1" applyFill="1" applyBorder="1" applyAlignment="1">
      <alignment horizontal="center" vertical="center" wrapText="1"/>
    </xf>
    <xf numFmtId="165" fontId="16" fillId="8" borderId="34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9" xfId="0" applyFont="1" applyBorder="1" applyAlignment="1">
      <alignment horizontal="left"/>
    </xf>
    <xf numFmtId="0" fontId="35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1" xfId="22" applyFont="1" applyBorder="1" applyAlignment="1">
      <alignment horizontal="center"/>
    </xf>
    <xf numFmtId="0" fontId="30" fillId="0" borderId="1" xfId="22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22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30" fillId="0" borderId="1" xfId="22" applyFont="1" applyBorder="1" applyAlignment="1">
      <alignment horizontal="center" vertical="center"/>
    </xf>
    <xf numFmtId="0" fontId="30" fillId="0" borderId="1" xfId="22" applyFont="1" applyBorder="1" applyAlignment="1">
      <alignment horizontal="left" vertical="center"/>
    </xf>
    <xf numFmtId="0" fontId="1" fillId="0" borderId="1" xfId="0" applyFont="1" applyBorder="1"/>
    <xf numFmtId="0" fontId="1" fillId="0" borderId="24" xfId="0" applyFont="1" applyBorder="1"/>
    <xf numFmtId="0" fontId="35" fillId="2" borderId="1" xfId="0" applyFont="1" applyFill="1" applyBorder="1" applyAlignment="1">
      <alignment horizontal="left" vertical="center" wrapText="1"/>
    </xf>
    <xf numFmtId="0" fontId="36" fillId="0" borderId="1" xfId="22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36" fillId="0" borderId="1" xfId="22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9" borderId="2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12" borderId="2" xfId="0" applyFont="1" applyFill="1" applyBorder="1" applyAlignment="1">
      <alignment horizontal="left" vertical="center"/>
    </xf>
    <xf numFmtId="0" fontId="6" fillId="12" borderId="3" xfId="0" applyFont="1" applyFill="1" applyBorder="1" applyAlignment="1">
      <alignment horizontal="left" vertical="center"/>
    </xf>
    <xf numFmtId="0" fontId="6" fillId="12" borderId="2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2" fontId="3" fillId="2" borderId="23" xfId="0" applyNumberFormat="1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19" xfId="0" applyFont="1" applyBorder="1" applyAlignment="1" applyProtection="1">
      <alignment horizontal="center" wrapText="1"/>
      <protection locked="0"/>
    </xf>
    <xf numFmtId="0" fontId="21" fillId="0" borderId="20" xfId="0" applyFont="1" applyBorder="1" applyAlignment="1" applyProtection="1">
      <alignment horizontal="center" wrapText="1"/>
      <protection locked="0"/>
    </xf>
    <xf numFmtId="0" fontId="21" fillId="0" borderId="29" xfId="0" applyFont="1" applyBorder="1" applyAlignment="1" applyProtection="1">
      <alignment horizontal="center" wrapText="1"/>
      <protection locked="0"/>
    </xf>
    <xf numFmtId="0" fontId="21" fillId="0" borderId="18" xfId="0" applyFont="1" applyBorder="1" applyAlignment="1" applyProtection="1">
      <alignment horizontal="center" wrapText="1"/>
      <protection locked="0"/>
    </xf>
    <xf numFmtId="0" fontId="21" fillId="0" borderId="28" xfId="0" applyFont="1" applyBorder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/>
    </xf>
    <xf numFmtId="49" fontId="25" fillId="0" borderId="3" xfId="0" applyNumberFormat="1" applyFont="1" applyBorder="1" applyAlignment="1">
      <alignment horizontal="left" vertical="center"/>
    </xf>
    <xf numFmtId="49" fontId="25" fillId="0" borderId="21" xfId="0" applyNumberFormat="1" applyFont="1" applyBorder="1" applyAlignment="1">
      <alignment horizontal="left" vertical="center"/>
    </xf>
    <xf numFmtId="0" fontId="6" fillId="0" borderId="3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6" fillId="8" borderId="22" xfId="0" applyFont="1" applyFill="1" applyBorder="1" applyAlignment="1" applyProtection="1">
      <alignment horizontal="center"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49" fontId="8" fillId="11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11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11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18" xfId="0" applyFont="1" applyFill="1" applyBorder="1" applyAlignment="1" applyProtection="1">
      <alignment horizontal="right" vertical="center" wrapText="1"/>
      <protection locked="0"/>
    </xf>
    <xf numFmtId="0" fontId="16" fillId="8" borderId="0" xfId="0" applyFont="1" applyFill="1" applyAlignment="1" applyProtection="1">
      <alignment horizontal="right" vertical="center" wrapText="1"/>
      <protection locked="0"/>
    </xf>
    <xf numFmtId="0" fontId="16" fillId="8" borderId="19" xfId="0" applyFont="1" applyFill="1" applyBorder="1" applyAlignment="1" applyProtection="1">
      <alignment horizontal="right" vertical="center" wrapText="1"/>
      <protection locked="0"/>
    </xf>
    <xf numFmtId="49" fontId="8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28" xfId="0" applyFont="1" applyBorder="1" applyAlignment="1" applyProtection="1">
      <alignment horizontal="center" wrapText="1"/>
      <protection locked="0"/>
    </xf>
    <xf numFmtId="0" fontId="19" fillId="0" borderId="20" xfId="0" applyFont="1" applyBorder="1" applyAlignment="1" applyProtection="1">
      <alignment horizontal="center" wrapText="1"/>
      <protection locked="0"/>
    </xf>
    <xf numFmtId="0" fontId="19" fillId="0" borderId="19" xfId="0" applyFont="1" applyBorder="1" applyAlignment="1" applyProtection="1">
      <alignment horizontal="center" wrapText="1"/>
      <protection locked="0"/>
    </xf>
    <xf numFmtId="0" fontId="19" fillId="0" borderId="29" xfId="0" applyFont="1" applyBorder="1" applyAlignment="1" applyProtection="1">
      <alignment horizontal="center" wrapText="1"/>
      <protection locked="0"/>
    </xf>
    <xf numFmtId="49" fontId="8" fillId="9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9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0" fontId="8" fillId="0" borderId="31" xfId="6" applyNumberFormat="1" applyFont="1" applyFill="1" applyBorder="1" applyAlignment="1" applyProtection="1">
      <alignment horizontal="center" vertical="center"/>
      <protection locked="0"/>
    </xf>
    <xf numFmtId="10" fontId="8" fillId="0" borderId="33" xfId="6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9" borderId="15" xfId="4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9" borderId="15" xfId="4" applyFont="1" applyFill="1" applyBorder="1" applyAlignment="1">
      <alignment horizontal="center" vertical="center" wrapText="1"/>
    </xf>
    <xf numFmtId="164" fontId="13" fillId="9" borderId="15" xfId="4" applyNumberFormat="1" applyFont="1" applyFill="1" applyBorder="1" applyAlignment="1">
      <alignment horizontal="center" vertical="center" wrapText="1"/>
    </xf>
    <xf numFmtId="164" fontId="13" fillId="9" borderId="17" xfId="4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3" fillId="3" borderId="32" xfId="4" applyFont="1" applyFill="1" applyBorder="1" applyAlignment="1">
      <alignment horizontal="right" vertical="center"/>
    </xf>
    <xf numFmtId="0" fontId="13" fillId="3" borderId="9" xfId="4" applyFont="1" applyFill="1" applyBorder="1" applyAlignment="1">
      <alignment horizontal="right" vertical="center"/>
    </xf>
    <xf numFmtId="0" fontId="8" fillId="2" borderId="30" xfId="4" applyFont="1" applyFill="1" applyBorder="1" applyAlignment="1">
      <alignment horizontal="left" vertical="center" wrapText="1"/>
    </xf>
    <xf numFmtId="0" fontId="8" fillId="2" borderId="6" xfId="4" applyFont="1" applyFill="1" applyBorder="1" applyAlignment="1">
      <alignment horizontal="left" vertical="center" wrapText="1"/>
    </xf>
    <xf numFmtId="0" fontId="14" fillId="4" borderId="6" xfId="4" applyFont="1" applyFill="1" applyBorder="1" applyAlignment="1">
      <alignment horizontal="left" vertical="center" wrapText="1"/>
    </xf>
    <xf numFmtId="0" fontId="14" fillId="4" borderId="31" xfId="4" applyFont="1" applyFill="1" applyBorder="1" applyAlignment="1">
      <alignment horizontal="left" vertical="center" wrapText="1"/>
    </xf>
    <xf numFmtId="0" fontId="20" fillId="0" borderId="18" xfId="1" applyFont="1" applyBorder="1" applyAlignment="1">
      <alignment horizontal="center" wrapText="1"/>
    </xf>
    <xf numFmtId="0" fontId="20" fillId="0" borderId="0" xfId="1" applyFont="1" applyAlignment="1">
      <alignment horizontal="center" wrapText="1"/>
    </xf>
    <xf numFmtId="0" fontId="20" fillId="0" borderId="28" xfId="1" applyFont="1" applyBorder="1" applyAlignment="1">
      <alignment horizontal="center" wrapText="1"/>
    </xf>
    <xf numFmtId="0" fontId="20" fillId="0" borderId="20" xfId="1" applyFont="1" applyBorder="1" applyAlignment="1">
      <alignment horizontal="center" wrapText="1"/>
    </xf>
    <xf numFmtId="0" fontId="15" fillId="0" borderId="0" xfId="1" applyFont="1" applyAlignment="1">
      <alignment horizontal="center" wrapText="1"/>
    </xf>
    <xf numFmtId="0" fontId="15" fillId="0" borderId="19" xfId="1" applyFont="1" applyBorder="1" applyAlignment="1">
      <alignment horizontal="center" wrapText="1"/>
    </xf>
    <xf numFmtId="0" fontId="15" fillId="0" borderId="20" xfId="1" applyFont="1" applyBorder="1" applyAlignment="1">
      <alignment horizontal="center" wrapText="1"/>
    </xf>
    <xf numFmtId="0" fontId="15" fillId="0" borderId="29" xfId="1" applyFont="1" applyBorder="1" applyAlignment="1">
      <alignment horizontal="center" wrapText="1"/>
    </xf>
    <xf numFmtId="4" fontId="16" fillId="8" borderId="23" xfId="4" applyNumberFormat="1" applyFont="1" applyFill="1" applyBorder="1" applyAlignment="1">
      <alignment horizontal="center" vertical="center" wrapText="1"/>
    </xf>
    <xf numFmtId="0" fontId="16" fillId="8" borderId="1" xfId="4" applyFont="1" applyFill="1" applyBorder="1" applyAlignment="1">
      <alignment horizontal="center" vertical="center" wrapText="1"/>
    </xf>
    <xf numFmtId="0" fontId="16" fillId="8" borderId="23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vertical="center" wrapText="1"/>
    </xf>
    <xf numFmtId="0" fontId="8" fillId="2" borderId="37" xfId="4" applyFont="1" applyFill="1" applyBorder="1" applyAlignment="1">
      <alignment horizontal="center" vertical="center" wrapText="1"/>
    </xf>
    <xf numFmtId="0" fontId="8" fillId="2" borderId="36" xfId="4" applyFont="1" applyFill="1" applyBorder="1" applyAlignment="1">
      <alignment horizontal="center" vertical="center" wrapText="1"/>
    </xf>
    <xf numFmtId="0" fontId="8" fillId="4" borderId="5" xfId="4" applyFont="1" applyFill="1" applyBorder="1" applyAlignment="1">
      <alignment vertical="center" wrapText="1"/>
    </xf>
    <xf numFmtId="0" fontId="8" fillId="4" borderId="8" xfId="4" applyFont="1" applyFill="1" applyBorder="1" applyAlignment="1">
      <alignment vertical="center" wrapText="1"/>
    </xf>
    <xf numFmtId="0" fontId="8" fillId="4" borderId="23" xfId="4" applyFont="1" applyFill="1" applyBorder="1" applyAlignment="1">
      <alignment horizontal="left" vertical="center" wrapText="1"/>
    </xf>
    <xf numFmtId="0" fontId="8" fillId="4" borderId="1" xfId="4" applyFont="1" applyFill="1" applyBorder="1" applyAlignment="1">
      <alignment horizontal="left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8" fillId="4" borderId="24" xfId="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0" fontId="8" fillId="2" borderId="30" xfId="4" applyFont="1" applyFill="1" applyBorder="1" applyAlignment="1">
      <alignment horizontal="center" vertical="center" wrapText="1"/>
    </xf>
    <xf numFmtId="0" fontId="8" fillId="2" borderId="18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/>
    </xf>
    <xf numFmtId="0" fontId="8" fillId="2" borderId="13" xfId="4" applyFont="1" applyFill="1" applyBorder="1" applyAlignment="1">
      <alignment horizontal="center" vertical="center"/>
    </xf>
    <xf numFmtId="0" fontId="8" fillId="4" borderId="11" xfId="4" applyFont="1" applyFill="1" applyBorder="1" applyAlignment="1">
      <alignment horizontal="center" vertical="center" wrapText="1"/>
    </xf>
    <xf numFmtId="0" fontId="8" fillId="4" borderId="7" xfId="4" applyFont="1" applyFill="1" applyBorder="1" applyAlignment="1">
      <alignment horizontal="center" vertical="center" wrapText="1"/>
    </xf>
    <xf numFmtId="0" fontId="8" fillId="4" borderId="12" xfId="4" applyFont="1" applyFill="1" applyBorder="1" applyAlignment="1">
      <alignment horizontal="center" vertical="center" wrapText="1"/>
    </xf>
    <xf numFmtId="0" fontId="8" fillId="4" borderId="10" xfId="4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</cellXfs>
  <cellStyles count="23">
    <cellStyle name="Moeda" xfId="3" builtinId="4"/>
    <cellStyle name="Moeda 2" xfId="11"/>
    <cellStyle name="Moeda 3" xfId="17"/>
    <cellStyle name="Normal" xfId="0" builtinId="0"/>
    <cellStyle name="Normal 10" xfId="1"/>
    <cellStyle name="Normal 2" xfId="9"/>
    <cellStyle name="Normal 2 2" xfId="4"/>
    <cellStyle name="Normal 3" xfId="14"/>
    <cellStyle name="Normal_Mod_Orcamento_Ate_20.000_hab" xfId="22"/>
    <cellStyle name="Porcentagem" xfId="6" builtinId="5"/>
    <cellStyle name="Porcentagem 2" xfId="2"/>
    <cellStyle name="Porcentagem 3" xfId="15"/>
    <cellStyle name="Vírgula" xfId="5" builtinId="3"/>
    <cellStyle name="Vírgula 2" xfId="7"/>
    <cellStyle name="Vírgula 2 2" xfId="13"/>
    <cellStyle name="Vírgula 2 3" xfId="10"/>
    <cellStyle name="Vírgula 2 3 2" xfId="20"/>
    <cellStyle name="Vírgula 3" xfId="8"/>
    <cellStyle name="Vírgula 3 2" xfId="19"/>
    <cellStyle name="Vírgula 4" xfId="16"/>
    <cellStyle name="Vírgula 5" xfId="12"/>
    <cellStyle name="Vírgula 5 2" xfId="21"/>
    <cellStyle name="Vírgula 6" xfId="18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142875</xdr:rowOff>
    </xdr:from>
    <xdr:to>
      <xdr:col>4</xdr:col>
      <xdr:colOff>169545</xdr:colOff>
      <xdr:row>2</xdr:row>
      <xdr:rowOff>779145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9CD5B97E-C76C-4C7A-966B-E3BC86B8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14325"/>
          <a:ext cx="2057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91889</xdr:colOff>
      <xdr:row>1</xdr:row>
      <xdr:rowOff>41542</xdr:rowOff>
    </xdr:from>
    <xdr:to>
      <xdr:col>9</xdr:col>
      <xdr:colOff>542169</xdr:colOff>
      <xdr:row>1</xdr:row>
      <xdr:rowOff>533376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49C4BA-5504-41F8-A490-54C8AF96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09175" y="95971"/>
          <a:ext cx="1725541" cy="49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81641</xdr:colOff>
      <xdr:row>1</xdr:row>
      <xdr:rowOff>40821</xdr:rowOff>
    </xdr:from>
    <xdr:to>
      <xdr:col>2</xdr:col>
      <xdr:colOff>10438</xdr:colOff>
      <xdr:row>1</xdr:row>
      <xdr:rowOff>541292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C22BE2D-69E3-45A1-92C5-DDC26ED7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0" y="95250"/>
          <a:ext cx="1884415" cy="496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36739</xdr:rowOff>
    </xdr:from>
    <xdr:to>
      <xdr:col>4</xdr:col>
      <xdr:colOff>628796</xdr:colOff>
      <xdr:row>0</xdr:row>
      <xdr:rowOff>533400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D47E03D-69D8-458D-B1CA-25A81B0E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21" y="85725"/>
          <a:ext cx="1873850" cy="496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476250</xdr:colOff>
      <xdr:row>0</xdr:row>
      <xdr:rowOff>28575</xdr:rowOff>
    </xdr:from>
    <xdr:to>
      <xdr:col>10</xdr:col>
      <xdr:colOff>553659</xdr:colOff>
      <xdr:row>0</xdr:row>
      <xdr:rowOff>516599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9F175C-1F59-4312-9121-859D6881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72700" y="76200"/>
          <a:ext cx="1730949" cy="49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734148</xdr:colOff>
      <xdr:row>0</xdr:row>
      <xdr:rowOff>29296</xdr:rowOff>
    </xdr:from>
    <xdr:to>
      <xdr:col>8</xdr:col>
      <xdr:colOff>773009</xdr:colOff>
      <xdr:row>0</xdr:row>
      <xdr:rowOff>521130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5F4745-DF72-47C8-AD43-5B512739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44498" y="76921"/>
          <a:ext cx="1734311" cy="49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9525</xdr:rowOff>
    </xdr:from>
    <xdr:to>
      <xdr:col>1</xdr:col>
      <xdr:colOff>970015</xdr:colOff>
      <xdr:row>0</xdr:row>
      <xdr:rowOff>506186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C71C07-A411-4D03-B6C8-16DB1CEA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884415" cy="496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276948</xdr:colOff>
      <xdr:row>0</xdr:row>
      <xdr:rowOff>38821</xdr:rowOff>
    </xdr:from>
    <xdr:to>
      <xdr:col>6</xdr:col>
      <xdr:colOff>888064</xdr:colOff>
      <xdr:row>0</xdr:row>
      <xdr:rowOff>530655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DEBBFB-D322-452F-9A24-3AA7CBF6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58798" y="86446"/>
          <a:ext cx="1725541" cy="49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836665</xdr:colOff>
      <xdr:row>0</xdr:row>
      <xdr:rowOff>534761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13E3B4-2D99-405D-9765-5E5F069B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884415" cy="496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6-S&#195;O%20FRANCISCO\SFC-0119%20-%20REFORMA%20DE%20CASAS%20DE%20BOMBA\PLANILHA\PLANILHA%20MULTIPLA%2001-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BDI"/>
      <sheetName val="CPU"/>
      <sheetName val="MC"/>
      <sheetName val="CRONOGRAMA"/>
    </sheetNames>
    <sheetDataSet>
      <sheetData sheetId="0"/>
      <sheetData sheetId="1">
        <row r="10">
          <cell r="K10">
            <v>0.29792218248733837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35"/>
  <sheetViews>
    <sheetView view="pageBreakPreview" topLeftCell="A4" zoomScale="85" zoomScaleNormal="100" zoomScaleSheetLayoutView="85" workbookViewId="0">
      <selection activeCell="B3" sqref="B3:K35"/>
    </sheetView>
  </sheetViews>
  <sheetFormatPr defaultRowHeight="15" x14ac:dyDescent="0.25"/>
  <cols>
    <col min="2" max="2" width="8" customWidth="1"/>
    <col min="3" max="4" width="10.140625" bestFit="1" customWidth="1"/>
    <col min="5" max="5" width="20.7109375" customWidth="1"/>
    <col min="6" max="6" width="15.140625" customWidth="1"/>
    <col min="8" max="8" width="11" customWidth="1"/>
    <col min="9" max="9" width="14.42578125" customWidth="1"/>
    <col min="10" max="10" width="15.140625" customWidth="1"/>
    <col min="11" max="11" width="11" customWidth="1"/>
  </cols>
  <sheetData>
    <row r="2" spans="2:11" ht="5.0999999999999996" customHeight="1" thickBot="1" x14ac:dyDescent="0.3"/>
    <row r="3" spans="2:11" ht="65.25" customHeight="1" thickBot="1" x14ac:dyDescent="0.3">
      <c r="B3" s="214" t="s">
        <v>67</v>
      </c>
      <c r="C3" s="215"/>
      <c r="D3" s="215"/>
      <c r="E3" s="215"/>
      <c r="F3" s="215"/>
      <c r="G3" s="215"/>
      <c r="H3" s="215"/>
      <c r="I3" s="215"/>
      <c r="J3" s="215"/>
      <c r="K3" s="216"/>
    </row>
    <row r="4" spans="2:11" ht="5.0999999999999996" customHeight="1" x14ac:dyDescent="0.25">
      <c r="B4" s="138"/>
      <c r="C4" s="139"/>
      <c r="D4" s="139"/>
      <c r="E4" s="139"/>
      <c r="F4" s="139"/>
      <c r="G4" s="139"/>
      <c r="H4" s="139"/>
      <c r="I4" s="139"/>
      <c r="J4" s="139"/>
      <c r="K4" s="140"/>
    </row>
    <row r="5" spans="2:11" ht="20.100000000000001" customHeight="1" x14ac:dyDescent="0.25">
      <c r="B5" s="220" t="str">
        <f>ORÇAMENTO!B2</f>
        <v>PREFEITURA MUNICIPAL DE SÃO FRANCISCO-MG</v>
      </c>
      <c r="C5" s="221"/>
      <c r="D5" s="221"/>
      <c r="E5" s="221"/>
      <c r="F5" s="221"/>
      <c r="G5" s="221"/>
      <c r="H5" s="221"/>
      <c r="I5" s="221"/>
      <c r="J5" s="221"/>
      <c r="K5" s="222"/>
    </row>
    <row r="6" spans="2:11" ht="26.25" customHeight="1" x14ac:dyDescent="0.25">
      <c r="B6" s="217" t="str">
        <f>ORÇAMENTO!B3</f>
        <v>OBRA: REFORMA DE CASAS DE BOMBAS PARA DRENAGEM DE ÁGUAS PLUVIAIS EM BACIAS DE ACUMULAÇÃO NO MUNICÍPIO DE SÃO FRANCISCO-MG</v>
      </c>
      <c r="C6" s="218"/>
      <c r="D6" s="218"/>
      <c r="E6" s="218"/>
      <c r="F6" s="218"/>
      <c r="G6" s="218"/>
      <c r="H6" s="218"/>
      <c r="I6" s="218"/>
      <c r="J6" s="218"/>
      <c r="K6" s="219"/>
    </row>
    <row r="7" spans="2:11" ht="20.100000000000001" customHeight="1" x14ac:dyDescent="0.25">
      <c r="B7" s="223" t="s">
        <v>94</v>
      </c>
      <c r="C7" s="224"/>
      <c r="D7" s="224"/>
      <c r="E7" s="224"/>
      <c r="F7" s="224"/>
      <c r="G7" s="224"/>
      <c r="H7" s="224"/>
      <c r="I7" s="224"/>
      <c r="J7" s="224"/>
      <c r="K7" s="225"/>
    </row>
    <row r="8" spans="2:11" ht="20.100000000000001" customHeight="1" x14ac:dyDescent="0.25">
      <c r="B8" s="202" t="s">
        <v>93</v>
      </c>
      <c r="C8" s="203"/>
      <c r="D8" s="203"/>
      <c r="E8" s="203"/>
      <c r="F8" s="203"/>
      <c r="G8" s="203"/>
      <c r="H8" s="203"/>
      <c r="I8" s="203"/>
      <c r="J8" s="203"/>
      <c r="K8" s="204"/>
    </row>
    <row r="9" spans="2:11" ht="8.1" customHeight="1" x14ac:dyDescent="0.25">
      <c r="B9" s="184"/>
      <c r="C9" s="185"/>
      <c r="D9" s="185"/>
      <c r="E9" s="185"/>
      <c r="F9" s="185"/>
      <c r="G9" s="185"/>
      <c r="H9" s="185"/>
      <c r="I9" s="185"/>
      <c r="J9" s="185"/>
      <c r="K9" s="186"/>
    </row>
    <row r="10" spans="2:11" ht="35.1" customHeight="1" x14ac:dyDescent="0.25">
      <c r="B10" s="65">
        <v>1</v>
      </c>
      <c r="C10" s="199" t="s">
        <v>68</v>
      </c>
      <c r="D10" s="199"/>
      <c r="E10" s="200" t="s">
        <v>69</v>
      </c>
      <c r="F10" s="200"/>
      <c r="G10" s="200"/>
      <c r="H10" s="201" t="s">
        <v>68</v>
      </c>
      <c r="I10" s="201"/>
      <c r="J10" s="201"/>
      <c r="K10" s="66">
        <f>(((1+G14+G11+G12)*(1+G13)*(1+G15))/(1-G16))-1</f>
        <v>0.27498635451623965</v>
      </c>
    </row>
    <row r="11" spans="2:11" ht="15.6" customHeight="1" x14ac:dyDescent="0.25">
      <c r="B11" s="67" t="s">
        <v>6</v>
      </c>
      <c r="C11" s="192" t="s">
        <v>70</v>
      </c>
      <c r="D11" s="192"/>
      <c r="E11" s="68" t="s">
        <v>111</v>
      </c>
      <c r="F11" s="68" t="s">
        <v>71</v>
      </c>
      <c r="G11" s="69">
        <v>8.0000000000000002E-3</v>
      </c>
      <c r="H11" s="205" t="s">
        <v>72</v>
      </c>
      <c r="I11" s="207"/>
      <c r="J11" s="207"/>
      <c r="K11" s="208"/>
    </row>
    <row r="12" spans="2:11" ht="30.6" customHeight="1" x14ac:dyDescent="0.25">
      <c r="B12" s="67" t="s">
        <v>7</v>
      </c>
      <c r="C12" s="192" t="s">
        <v>73</v>
      </c>
      <c r="D12" s="192"/>
      <c r="E12" s="68" t="s">
        <v>112</v>
      </c>
      <c r="F12" s="68" t="s">
        <v>74</v>
      </c>
      <c r="G12" s="69">
        <v>9.7000000000000003E-3</v>
      </c>
      <c r="H12" s="207"/>
      <c r="I12" s="207"/>
      <c r="J12" s="207"/>
      <c r="K12" s="208"/>
    </row>
    <row r="13" spans="2:11" ht="38.450000000000003" customHeight="1" x14ac:dyDescent="0.25">
      <c r="B13" s="67" t="s">
        <v>8</v>
      </c>
      <c r="C13" s="192" t="s">
        <v>75</v>
      </c>
      <c r="D13" s="192"/>
      <c r="E13" s="68" t="s">
        <v>113</v>
      </c>
      <c r="F13" s="68" t="s">
        <v>76</v>
      </c>
      <c r="G13" s="69">
        <v>5.8999999999999999E-3</v>
      </c>
      <c r="H13" s="207"/>
      <c r="I13" s="207"/>
      <c r="J13" s="207"/>
      <c r="K13" s="208"/>
    </row>
    <row r="14" spans="2:11" ht="48.2" customHeight="1" x14ac:dyDescent="0.25">
      <c r="B14" s="67" t="s">
        <v>9</v>
      </c>
      <c r="C14" s="209" t="s">
        <v>77</v>
      </c>
      <c r="D14" s="209"/>
      <c r="E14" s="70" t="s">
        <v>110</v>
      </c>
      <c r="F14" s="68" t="s">
        <v>78</v>
      </c>
      <c r="G14" s="69">
        <v>0.03</v>
      </c>
      <c r="H14" s="207"/>
      <c r="I14" s="207"/>
      <c r="J14" s="207"/>
      <c r="K14" s="208"/>
    </row>
    <row r="15" spans="2:11" ht="39.200000000000003" customHeight="1" x14ac:dyDescent="0.25">
      <c r="B15" s="67" t="s">
        <v>55</v>
      </c>
      <c r="C15" s="209" t="s">
        <v>79</v>
      </c>
      <c r="D15" s="209"/>
      <c r="E15" s="70" t="s">
        <v>114</v>
      </c>
      <c r="F15" s="68" t="s">
        <v>80</v>
      </c>
      <c r="G15" s="69">
        <v>6.1600000000000002E-2</v>
      </c>
      <c r="H15" s="210" t="s">
        <v>81</v>
      </c>
      <c r="I15" s="211"/>
      <c r="J15" s="211"/>
      <c r="K15" s="212"/>
    </row>
    <row r="16" spans="2:11" ht="54.75" customHeight="1" x14ac:dyDescent="0.25">
      <c r="B16" s="67" t="s">
        <v>62</v>
      </c>
      <c r="C16" s="192" t="s">
        <v>82</v>
      </c>
      <c r="D16" s="192"/>
      <c r="E16" s="68" t="s">
        <v>83</v>
      </c>
      <c r="F16" s="68" t="s">
        <v>84</v>
      </c>
      <c r="G16" s="69">
        <f>H23</f>
        <v>0.1225</v>
      </c>
      <c r="H16" s="213" t="s">
        <v>85</v>
      </c>
      <c r="I16" s="211"/>
      <c r="J16" s="211"/>
      <c r="K16" s="212"/>
    </row>
    <row r="17" spans="2:11" ht="15.75" x14ac:dyDescent="0.25">
      <c r="B17" s="67"/>
      <c r="C17" s="192"/>
      <c r="D17" s="192"/>
      <c r="E17" s="68"/>
      <c r="F17" s="68"/>
      <c r="G17" s="69"/>
      <c r="H17" s="211"/>
      <c r="I17" s="211"/>
      <c r="J17" s="211"/>
      <c r="K17" s="212"/>
    </row>
    <row r="18" spans="2:11" ht="15.6" customHeight="1" x14ac:dyDescent="0.25">
      <c r="B18" s="67"/>
      <c r="C18" s="192"/>
      <c r="D18" s="192"/>
      <c r="E18" s="193" t="s">
        <v>86</v>
      </c>
      <c r="F18" s="194"/>
      <c r="G18" s="194"/>
      <c r="H18" s="195"/>
      <c r="I18" s="71"/>
      <c r="J18" s="69"/>
      <c r="K18" s="72"/>
    </row>
    <row r="19" spans="2:11" ht="15.75" x14ac:dyDescent="0.25">
      <c r="B19" s="73"/>
      <c r="C19" s="205"/>
      <c r="D19" s="205"/>
      <c r="E19" s="206" t="s">
        <v>87</v>
      </c>
      <c r="F19" s="206"/>
      <c r="G19" s="206"/>
      <c r="H19" s="74">
        <v>0.03</v>
      </c>
      <c r="I19" s="71"/>
      <c r="J19" s="75"/>
      <c r="K19" s="72"/>
    </row>
    <row r="20" spans="2:11" ht="15.75" x14ac:dyDescent="0.25">
      <c r="B20" s="76"/>
      <c r="C20" s="196"/>
      <c r="D20" s="196"/>
      <c r="E20" s="197" t="s">
        <v>88</v>
      </c>
      <c r="F20" s="197"/>
      <c r="G20" s="197"/>
      <c r="H20" s="77">
        <v>6.4999999999999997E-3</v>
      </c>
      <c r="I20" s="71"/>
      <c r="J20" s="71"/>
      <c r="K20" s="72"/>
    </row>
    <row r="21" spans="2:11" ht="15.75" x14ac:dyDescent="0.25">
      <c r="B21" s="78"/>
      <c r="C21" s="176"/>
      <c r="D21" s="176"/>
      <c r="E21" s="198" t="s">
        <v>89</v>
      </c>
      <c r="F21" s="198"/>
      <c r="G21" s="198"/>
      <c r="H21" s="79">
        <v>0.05</v>
      </c>
      <c r="I21" s="80"/>
      <c r="J21" s="80"/>
      <c r="K21" s="81"/>
    </row>
    <row r="22" spans="2:11" ht="15.75" x14ac:dyDescent="0.25">
      <c r="B22" s="82"/>
      <c r="C22" s="176"/>
      <c r="D22" s="176"/>
      <c r="E22" s="177" t="s">
        <v>90</v>
      </c>
      <c r="F22" s="177"/>
      <c r="G22" s="177"/>
      <c r="H22" s="77">
        <v>3.5999999999999997E-2</v>
      </c>
      <c r="I22" s="80"/>
      <c r="J22" s="80"/>
      <c r="K22" s="81"/>
    </row>
    <row r="23" spans="2:11" ht="15.75" x14ac:dyDescent="0.25">
      <c r="B23" s="82"/>
      <c r="C23" s="176"/>
      <c r="D23" s="176"/>
      <c r="E23" s="177" t="s">
        <v>1</v>
      </c>
      <c r="F23" s="177"/>
      <c r="G23" s="177"/>
      <c r="H23" s="79">
        <f>H19+H20+H21+H22</f>
        <v>0.1225</v>
      </c>
      <c r="I23" s="80"/>
      <c r="J23" s="80"/>
      <c r="K23" s="81"/>
    </row>
    <row r="24" spans="2:11" x14ac:dyDescent="0.25">
      <c r="B24" s="184"/>
      <c r="C24" s="185"/>
      <c r="D24" s="185"/>
      <c r="E24" s="185"/>
      <c r="F24" s="185"/>
      <c r="G24" s="185"/>
      <c r="H24" s="185"/>
      <c r="I24" s="185"/>
      <c r="J24" s="185"/>
      <c r="K24" s="186"/>
    </row>
    <row r="25" spans="2:11" ht="19.899999999999999" customHeight="1" x14ac:dyDescent="0.25">
      <c r="B25" s="141"/>
      <c r="C25" s="83"/>
      <c r="D25" s="83"/>
      <c r="E25" s="83"/>
      <c r="F25" s="83"/>
      <c r="G25" s="83"/>
      <c r="H25" s="83"/>
      <c r="I25" s="84" t="s">
        <v>4</v>
      </c>
      <c r="J25" s="187">
        <f ca="1">TODAY()</f>
        <v>46010</v>
      </c>
      <c r="K25" s="188"/>
    </row>
    <row r="26" spans="2:11" x14ac:dyDescent="0.25">
      <c r="B26" s="189" t="s">
        <v>91</v>
      </c>
      <c r="C26" s="190"/>
      <c r="D26" s="190"/>
      <c r="E26" s="190"/>
      <c r="F26" s="190" t="s">
        <v>92</v>
      </c>
      <c r="G26" s="190"/>
      <c r="H26" s="190"/>
      <c r="I26" s="190"/>
      <c r="J26" s="190"/>
      <c r="K26" s="191"/>
    </row>
    <row r="27" spans="2:11" ht="12.75" customHeight="1" x14ac:dyDescent="0.25">
      <c r="B27" s="178" t="str">
        <f>ORÇAMENTO!B132</f>
        <v>______________________________________________
GERALDO DIAS PEREIRA JÚNIOR
ENGENHEIRO CIVIL - CREA:  248.562/D - MG</v>
      </c>
      <c r="C27" s="179"/>
      <c r="D27" s="179"/>
      <c r="E27" s="179"/>
      <c r="F27" s="179" t="str">
        <f>ORÇAMENTO!F132</f>
        <v>_________________________________________
MIGUEL PAULO SOUZA FILHO
PREFEITO MUNICIPAL DE SÃO FRANCISCO</v>
      </c>
      <c r="G27" s="179"/>
      <c r="H27" s="179"/>
      <c r="I27" s="179"/>
      <c r="J27" s="179"/>
      <c r="K27" s="182"/>
    </row>
    <row r="28" spans="2:11" x14ac:dyDescent="0.25">
      <c r="B28" s="178"/>
      <c r="C28" s="179"/>
      <c r="D28" s="179"/>
      <c r="E28" s="179"/>
      <c r="F28" s="179"/>
      <c r="G28" s="179"/>
      <c r="H28" s="179"/>
      <c r="I28" s="179"/>
      <c r="J28" s="179"/>
      <c r="K28" s="182"/>
    </row>
    <row r="29" spans="2:11" x14ac:dyDescent="0.25">
      <c r="B29" s="178"/>
      <c r="C29" s="179"/>
      <c r="D29" s="179"/>
      <c r="E29" s="179"/>
      <c r="F29" s="179"/>
      <c r="G29" s="179"/>
      <c r="H29" s="179"/>
      <c r="I29" s="179"/>
      <c r="J29" s="179"/>
      <c r="K29" s="182"/>
    </row>
    <row r="30" spans="2:11" x14ac:dyDescent="0.25">
      <c r="B30" s="178"/>
      <c r="C30" s="179"/>
      <c r="D30" s="179"/>
      <c r="E30" s="179"/>
      <c r="F30" s="179"/>
      <c r="G30" s="179"/>
      <c r="H30" s="179"/>
      <c r="I30" s="179"/>
      <c r="J30" s="179"/>
      <c r="K30" s="182"/>
    </row>
    <row r="31" spans="2:11" x14ac:dyDescent="0.25">
      <c r="B31" s="178"/>
      <c r="C31" s="179"/>
      <c r="D31" s="179"/>
      <c r="E31" s="179"/>
      <c r="F31" s="179"/>
      <c r="G31" s="179"/>
      <c r="H31" s="179"/>
      <c r="I31" s="179"/>
      <c r="J31" s="179"/>
      <c r="K31" s="182"/>
    </row>
    <row r="32" spans="2:11" x14ac:dyDescent="0.25">
      <c r="B32" s="178"/>
      <c r="C32" s="179"/>
      <c r="D32" s="179"/>
      <c r="E32" s="179"/>
      <c r="F32" s="179"/>
      <c r="G32" s="179"/>
      <c r="H32" s="179"/>
      <c r="I32" s="179"/>
      <c r="J32" s="179"/>
      <c r="K32" s="182"/>
    </row>
    <row r="33" spans="2:11" x14ac:dyDescent="0.25">
      <c r="B33" s="178"/>
      <c r="C33" s="179"/>
      <c r="D33" s="179"/>
      <c r="E33" s="179"/>
      <c r="F33" s="179"/>
      <c r="G33" s="179"/>
      <c r="H33" s="179"/>
      <c r="I33" s="179"/>
      <c r="J33" s="179"/>
      <c r="K33" s="182"/>
    </row>
    <row r="34" spans="2:11" ht="12.75" customHeight="1" x14ac:dyDescent="0.25">
      <c r="B34" s="178"/>
      <c r="C34" s="179"/>
      <c r="D34" s="179"/>
      <c r="E34" s="179"/>
      <c r="F34" s="179"/>
      <c r="G34" s="179"/>
      <c r="H34" s="179"/>
      <c r="I34" s="179"/>
      <c r="J34" s="179"/>
      <c r="K34" s="182"/>
    </row>
    <row r="35" spans="2:11" ht="12.75" customHeight="1" thickBot="1" x14ac:dyDescent="0.3">
      <c r="B35" s="180"/>
      <c r="C35" s="181"/>
      <c r="D35" s="181"/>
      <c r="E35" s="181"/>
      <c r="F35" s="181"/>
      <c r="G35" s="181"/>
      <c r="H35" s="181"/>
      <c r="I35" s="181"/>
      <c r="J35" s="181"/>
      <c r="K35" s="183"/>
    </row>
  </sheetData>
  <mergeCells count="37">
    <mergeCell ref="B3:K3"/>
    <mergeCell ref="B6:K6"/>
    <mergeCell ref="B5:K5"/>
    <mergeCell ref="B7:K7"/>
    <mergeCell ref="B9:K9"/>
    <mergeCell ref="C10:D10"/>
    <mergeCell ref="E10:G10"/>
    <mergeCell ref="H10:J10"/>
    <mergeCell ref="B8:K8"/>
    <mergeCell ref="C19:D19"/>
    <mergeCell ref="E19:G19"/>
    <mergeCell ref="C11:D11"/>
    <mergeCell ref="H11:K14"/>
    <mergeCell ref="C12:D12"/>
    <mergeCell ref="C13:D13"/>
    <mergeCell ref="C14:D14"/>
    <mergeCell ref="C15:D15"/>
    <mergeCell ref="H15:K15"/>
    <mergeCell ref="C16:D16"/>
    <mergeCell ref="H16:K17"/>
    <mergeCell ref="C17:D17"/>
    <mergeCell ref="C18:D18"/>
    <mergeCell ref="E18:H18"/>
    <mergeCell ref="C20:D20"/>
    <mergeCell ref="E20:G20"/>
    <mergeCell ref="C21:D21"/>
    <mergeCell ref="E21:G21"/>
    <mergeCell ref="C22:D22"/>
    <mergeCell ref="E22:G22"/>
    <mergeCell ref="B27:E35"/>
    <mergeCell ref="F27:K35"/>
    <mergeCell ref="C23:D23"/>
    <mergeCell ref="E23:G23"/>
    <mergeCell ref="B24:K24"/>
    <mergeCell ref="J25:K25"/>
    <mergeCell ref="B26:E26"/>
    <mergeCell ref="F26:K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G777"/>
  <sheetViews>
    <sheetView showGridLines="0" view="pageBreakPreview" topLeftCell="A763" zoomScale="70" zoomScaleNormal="100" zoomScaleSheetLayoutView="70" workbookViewId="0">
      <selection activeCell="A421" sqref="A421:B421"/>
    </sheetView>
  </sheetViews>
  <sheetFormatPr defaultRowHeight="14.25" x14ac:dyDescent="0.2"/>
  <cols>
    <col min="1" max="1" width="15" style="2" customWidth="1"/>
    <col min="2" max="2" width="29.28515625" style="2" customWidth="1"/>
    <col min="3" max="3" width="56.28515625" style="2" customWidth="1"/>
    <col min="4" max="4" width="23.7109375" style="2" customWidth="1"/>
    <col min="5" max="5" width="20" style="2" customWidth="1"/>
    <col min="6" max="6" width="21.7109375" style="2" customWidth="1"/>
    <col min="7" max="8" width="15.28515625" style="2" customWidth="1"/>
    <col min="9" max="9" width="19.140625" style="2" customWidth="1"/>
    <col min="10" max="10" width="27.28515625" style="2" customWidth="1"/>
    <col min="11" max="11" width="11.7109375" style="2" bestFit="1" customWidth="1"/>
    <col min="12" max="12" width="9.140625" style="2"/>
    <col min="13" max="13" width="11.28515625" style="2" bestFit="1" customWidth="1"/>
    <col min="14" max="256" width="9.140625" style="2"/>
    <col min="257" max="257" width="15" style="2" customWidth="1"/>
    <col min="258" max="258" width="35.28515625" style="2" customWidth="1"/>
    <col min="259" max="259" width="37.140625" style="2" customWidth="1"/>
    <col min="260" max="260" width="15.7109375" style="2" customWidth="1"/>
    <col min="261" max="262" width="13.7109375" style="2" customWidth="1"/>
    <col min="263" max="263" width="14" style="2" customWidth="1"/>
    <col min="264" max="264" width="15.28515625" style="2" customWidth="1"/>
    <col min="265" max="265" width="17.7109375" style="2" customWidth="1"/>
    <col min="266" max="266" width="21.140625" style="2" customWidth="1"/>
    <col min="267" max="512" width="9.140625" style="2"/>
    <col min="513" max="513" width="15" style="2" customWidth="1"/>
    <col min="514" max="514" width="35.28515625" style="2" customWidth="1"/>
    <col min="515" max="515" width="37.140625" style="2" customWidth="1"/>
    <col min="516" max="516" width="15.7109375" style="2" customWidth="1"/>
    <col min="517" max="518" width="13.7109375" style="2" customWidth="1"/>
    <col min="519" max="519" width="14" style="2" customWidth="1"/>
    <col min="520" max="520" width="15.28515625" style="2" customWidth="1"/>
    <col min="521" max="521" width="17.7109375" style="2" customWidth="1"/>
    <col min="522" max="522" width="21.140625" style="2" customWidth="1"/>
    <col min="523" max="768" width="9.140625" style="2"/>
    <col min="769" max="769" width="15" style="2" customWidth="1"/>
    <col min="770" max="770" width="35.28515625" style="2" customWidth="1"/>
    <col min="771" max="771" width="37.140625" style="2" customWidth="1"/>
    <col min="772" max="772" width="15.7109375" style="2" customWidth="1"/>
    <col min="773" max="774" width="13.7109375" style="2" customWidth="1"/>
    <col min="775" max="775" width="14" style="2" customWidth="1"/>
    <col min="776" max="776" width="15.28515625" style="2" customWidth="1"/>
    <col min="777" max="777" width="17.7109375" style="2" customWidth="1"/>
    <col min="778" max="778" width="21.140625" style="2" customWidth="1"/>
    <col min="779" max="1024" width="9.140625" style="2"/>
    <col min="1025" max="1025" width="15" style="2" customWidth="1"/>
    <col min="1026" max="1026" width="35.28515625" style="2" customWidth="1"/>
    <col min="1027" max="1027" width="37.140625" style="2" customWidth="1"/>
    <col min="1028" max="1028" width="15.7109375" style="2" customWidth="1"/>
    <col min="1029" max="1030" width="13.7109375" style="2" customWidth="1"/>
    <col min="1031" max="1031" width="14" style="2" customWidth="1"/>
    <col min="1032" max="1032" width="15.28515625" style="2" customWidth="1"/>
    <col min="1033" max="1033" width="17.7109375" style="2" customWidth="1"/>
    <col min="1034" max="1034" width="21.140625" style="2" customWidth="1"/>
    <col min="1035" max="1280" width="9.140625" style="2"/>
    <col min="1281" max="1281" width="15" style="2" customWidth="1"/>
    <col min="1282" max="1282" width="35.28515625" style="2" customWidth="1"/>
    <col min="1283" max="1283" width="37.140625" style="2" customWidth="1"/>
    <col min="1284" max="1284" width="15.7109375" style="2" customWidth="1"/>
    <col min="1285" max="1286" width="13.7109375" style="2" customWidth="1"/>
    <col min="1287" max="1287" width="14" style="2" customWidth="1"/>
    <col min="1288" max="1288" width="15.28515625" style="2" customWidth="1"/>
    <col min="1289" max="1289" width="17.7109375" style="2" customWidth="1"/>
    <col min="1290" max="1290" width="21.140625" style="2" customWidth="1"/>
    <col min="1291" max="1536" width="9.140625" style="2"/>
    <col min="1537" max="1537" width="15" style="2" customWidth="1"/>
    <col min="1538" max="1538" width="35.28515625" style="2" customWidth="1"/>
    <col min="1539" max="1539" width="37.140625" style="2" customWidth="1"/>
    <col min="1540" max="1540" width="15.7109375" style="2" customWidth="1"/>
    <col min="1541" max="1542" width="13.7109375" style="2" customWidth="1"/>
    <col min="1543" max="1543" width="14" style="2" customWidth="1"/>
    <col min="1544" max="1544" width="15.28515625" style="2" customWidth="1"/>
    <col min="1545" max="1545" width="17.7109375" style="2" customWidth="1"/>
    <col min="1546" max="1546" width="21.140625" style="2" customWidth="1"/>
    <col min="1547" max="1792" width="9.140625" style="2"/>
    <col min="1793" max="1793" width="15" style="2" customWidth="1"/>
    <col min="1794" max="1794" width="35.28515625" style="2" customWidth="1"/>
    <col min="1795" max="1795" width="37.140625" style="2" customWidth="1"/>
    <col min="1796" max="1796" width="15.7109375" style="2" customWidth="1"/>
    <col min="1797" max="1798" width="13.7109375" style="2" customWidth="1"/>
    <col min="1799" max="1799" width="14" style="2" customWidth="1"/>
    <col min="1800" max="1800" width="15.28515625" style="2" customWidth="1"/>
    <col min="1801" max="1801" width="17.7109375" style="2" customWidth="1"/>
    <col min="1802" max="1802" width="21.140625" style="2" customWidth="1"/>
    <col min="1803" max="2048" width="9.140625" style="2"/>
    <col min="2049" max="2049" width="15" style="2" customWidth="1"/>
    <col min="2050" max="2050" width="35.28515625" style="2" customWidth="1"/>
    <col min="2051" max="2051" width="37.140625" style="2" customWidth="1"/>
    <col min="2052" max="2052" width="15.7109375" style="2" customWidth="1"/>
    <col min="2053" max="2054" width="13.7109375" style="2" customWidth="1"/>
    <col min="2055" max="2055" width="14" style="2" customWidth="1"/>
    <col min="2056" max="2056" width="15.28515625" style="2" customWidth="1"/>
    <col min="2057" max="2057" width="17.7109375" style="2" customWidth="1"/>
    <col min="2058" max="2058" width="21.140625" style="2" customWidth="1"/>
    <col min="2059" max="2304" width="9.140625" style="2"/>
    <col min="2305" max="2305" width="15" style="2" customWidth="1"/>
    <col min="2306" max="2306" width="35.28515625" style="2" customWidth="1"/>
    <col min="2307" max="2307" width="37.140625" style="2" customWidth="1"/>
    <col min="2308" max="2308" width="15.7109375" style="2" customWidth="1"/>
    <col min="2309" max="2310" width="13.7109375" style="2" customWidth="1"/>
    <col min="2311" max="2311" width="14" style="2" customWidth="1"/>
    <col min="2312" max="2312" width="15.28515625" style="2" customWidth="1"/>
    <col min="2313" max="2313" width="17.7109375" style="2" customWidth="1"/>
    <col min="2314" max="2314" width="21.140625" style="2" customWidth="1"/>
    <col min="2315" max="2560" width="9.140625" style="2"/>
    <col min="2561" max="2561" width="15" style="2" customWidth="1"/>
    <col min="2562" max="2562" width="35.28515625" style="2" customWidth="1"/>
    <col min="2563" max="2563" width="37.140625" style="2" customWidth="1"/>
    <col min="2564" max="2564" width="15.7109375" style="2" customWidth="1"/>
    <col min="2565" max="2566" width="13.7109375" style="2" customWidth="1"/>
    <col min="2567" max="2567" width="14" style="2" customWidth="1"/>
    <col min="2568" max="2568" width="15.28515625" style="2" customWidth="1"/>
    <col min="2569" max="2569" width="17.7109375" style="2" customWidth="1"/>
    <col min="2570" max="2570" width="21.140625" style="2" customWidth="1"/>
    <col min="2571" max="2816" width="9.140625" style="2"/>
    <col min="2817" max="2817" width="15" style="2" customWidth="1"/>
    <col min="2818" max="2818" width="35.28515625" style="2" customWidth="1"/>
    <col min="2819" max="2819" width="37.140625" style="2" customWidth="1"/>
    <col min="2820" max="2820" width="15.7109375" style="2" customWidth="1"/>
    <col min="2821" max="2822" width="13.7109375" style="2" customWidth="1"/>
    <col min="2823" max="2823" width="14" style="2" customWidth="1"/>
    <col min="2824" max="2824" width="15.28515625" style="2" customWidth="1"/>
    <col min="2825" max="2825" width="17.7109375" style="2" customWidth="1"/>
    <col min="2826" max="2826" width="21.140625" style="2" customWidth="1"/>
    <col min="2827" max="3072" width="9.140625" style="2"/>
    <col min="3073" max="3073" width="15" style="2" customWidth="1"/>
    <col min="3074" max="3074" width="35.28515625" style="2" customWidth="1"/>
    <col min="3075" max="3075" width="37.140625" style="2" customWidth="1"/>
    <col min="3076" max="3076" width="15.7109375" style="2" customWidth="1"/>
    <col min="3077" max="3078" width="13.7109375" style="2" customWidth="1"/>
    <col min="3079" max="3079" width="14" style="2" customWidth="1"/>
    <col min="3080" max="3080" width="15.28515625" style="2" customWidth="1"/>
    <col min="3081" max="3081" width="17.7109375" style="2" customWidth="1"/>
    <col min="3082" max="3082" width="21.140625" style="2" customWidth="1"/>
    <col min="3083" max="3328" width="9.140625" style="2"/>
    <col min="3329" max="3329" width="15" style="2" customWidth="1"/>
    <col min="3330" max="3330" width="35.28515625" style="2" customWidth="1"/>
    <col min="3331" max="3331" width="37.140625" style="2" customWidth="1"/>
    <col min="3332" max="3332" width="15.7109375" style="2" customWidth="1"/>
    <col min="3333" max="3334" width="13.7109375" style="2" customWidth="1"/>
    <col min="3335" max="3335" width="14" style="2" customWidth="1"/>
    <col min="3336" max="3336" width="15.28515625" style="2" customWidth="1"/>
    <col min="3337" max="3337" width="17.7109375" style="2" customWidth="1"/>
    <col min="3338" max="3338" width="21.140625" style="2" customWidth="1"/>
    <col min="3339" max="3584" width="9.140625" style="2"/>
    <col min="3585" max="3585" width="15" style="2" customWidth="1"/>
    <col min="3586" max="3586" width="35.28515625" style="2" customWidth="1"/>
    <col min="3587" max="3587" width="37.140625" style="2" customWidth="1"/>
    <col min="3588" max="3588" width="15.7109375" style="2" customWidth="1"/>
    <col min="3589" max="3590" width="13.7109375" style="2" customWidth="1"/>
    <col min="3591" max="3591" width="14" style="2" customWidth="1"/>
    <col min="3592" max="3592" width="15.28515625" style="2" customWidth="1"/>
    <col min="3593" max="3593" width="17.7109375" style="2" customWidth="1"/>
    <col min="3594" max="3594" width="21.140625" style="2" customWidth="1"/>
    <col min="3595" max="3840" width="9.140625" style="2"/>
    <col min="3841" max="3841" width="15" style="2" customWidth="1"/>
    <col min="3842" max="3842" width="35.28515625" style="2" customWidth="1"/>
    <col min="3843" max="3843" width="37.140625" style="2" customWidth="1"/>
    <col min="3844" max="3844" width="15.7109375" style="2" customWidth="1"/>
    <col min="3845" max="3846" width="13.7109375" style="2" customWidth="1"/>
    <col min="3847" max="3847" width="14" style="2" customWidth="1"/>
    <col min="3848" max="3848" width="15.28515625" style="2" customWidth="1"/>
    <col min="3849" max="3849" width="17.7109375" style="2" customWidth="1"/>
    <col min="3850" max="3850" width="21.140625" style="2" customWidth="1"/>
    <col min="3851" max="4096" width="9.140625" style="2"/>
    <col min="4097" max="4097" width="15" style="2" customWidth="1"/>
    <col min="4098" max="4098" width="35.28515625" style="2" customWidth="1"/>
    <col min="4099" max="4099" width="37.140625" style="2" customWidth="1"/>
    <col min="4100" max="4100" width="15.7109375" style="2" customWidth="1"/>
    <col min="4101" max="4102" width="13.7109375" style="2" customWidth="1"/>
    <col min="4103" max="4103" width="14" style="2" customWidth="1"/>
    <col min="4104" max="4104" width="15.28515625" style="2" customWidth="1"/>
    <col min="4105" max="4105" width="17.7109375" style="2" customWidth="1"/>
    <col min="4106" max="4106" width="21.140625" style="2" customWidth="1"/>
    <col min="4107" max="4352" width="9.140625" style="2"/>
    <col min="4353" max="4353" width="15" style="2" customWidth="1"/>
    <col min="4354" max="4354" width="35.28515625" style="2" customWidth="1"/>
    <col min="4355" max="4355" width="37.140625" style="2" customWidth="1"/>
    <col min="4356" max="4356" width="15.7109375" style="2" customWidth="1"/>
    <col min="4357" max="4358" width="13.7109375" style="2" customWidth="1"/>
    <col min="4359" max="4359" width="14" style="2" customWidth="1"/>
    <col min="4360" max="4360" width="15.28515625" style="2" customWidth="1"/>
    <col min="4361" max="4361" width="17.7109375" style="2" customWidth="1"/>
    <col min="4362" max="4362" width="21.140625" style="2" customWidth="1"/>
    <col min="4363" max="4608" width="9.140625" style="2"/>
    <col min="4609" max="4609" width="15" style="2" customWidth="1"/>
    <col min="4610" max="4610" width="35.28515625" style="2" customWidth="1"/>
    <col min="4611" max="4611" width="37.140625" style="2" customWidth="1"/>
    <col min="4612" max="4612" width="15.7109375" style="2" customWidth="1"/>
    <col min="4613" max="4614" width="13.7109375" style="2" customWidth="1"/>
    <col min="4615" max="4615" width="14" style="2" customWidth="1"/>
    <col min="4616" max="4616" width="15.28515625" style="2" customWidth="1"/>
    <col min="4617" max="4617" width="17.7109375" style="2" customWidth="1"/>
    <col min="4618" max="4618" width="21.140625" style="2" customWidth="1"/>
    <col min="4619" max="4864" width="9.140625" style="2"/>
    <col min="4865" max="4865" width="15" style="2" customWidth="1"/>
    <col min="4866" max="4866" width="35.28515625" style="2" customWidth="1"/>
    <col min="4867" max="4867" width="37.140625" style="2" customWidth="1"/>
    <col min="4868" max="4868" width="15.7109375" style="2" customWidth="1"/>
    <col min="4869" max="4870" width="13.7109375" style="2" customWidth="1"/>
    <col min="4871" max="4871" width="14" style="2" customWidth="1"/>
    <col min="4872" max="4872" width="15.28515625" style="2" customWidth="1"/>
    <col min="4873" max="4873" width="17.7109375" style="2" customWidth="1"/>
    <col min="4874" max="4874" width="21.140625" style="2" customWidth="1"/>
    <col min="4875" max="5120" width="9.140625" style="2"/>
    <col min="5121" max="5121" width="15" style="2" customWidth="1"/>
    <col min="5122" max="5122" width="35.28515625" style="2" customWidth="1"/>
    <col min="5123" max="5123" width="37.140625" style="2" customWidth="1"/>
    <col min="5124" max="5124" width="15.7109375" style="2" customWidth="1"/>
    <col min="5125" max="5126" width="13.7109375" style="2" customWidth="1"/>
    <col min="5127" max="5127" width="14" style="2" customWidth="1"/>
    <col min="5128" max="5128" width="15.28515625" style="2" customWidth="1"/>
    <col min="5129" max="5129" width="17.7109375" style="2" customWidth="1"/>
    <col min="5130" max="5130" width="21.140625" style="2" customWidth="1"/>
    <col min="5131" max="5376" width="9.140625" style="2"/>
    <col min="5377" max="5377" width="15" style="2" customWidth="1"/>
    <col min="5378" max="5378" width="35.28515625" style="2" customWidth="1"/>
    <col min="5379" max="5379" width="37.140625" style="2" customWidth="1"/>
    <col min="5380" max="5380" width="15.7109375" style="2" customWidth="1"/>
    <col min="5381" max="5382" width="13.7109375" style="2" customWidth="1"/>
    <col min="5383" max="5383" width="14" style="2" customWidth="1"/>
    <col min="5384" max="5384" width="15.28515625" style="2" customWidth="1"/>
    <col min="5385" max="5385" width="17.7109375" style="2" customWidth="1"/>
    <col min="5386" max="5386" width="21.140625" style="2" customWidth="1"/>
    <col min="5387" max="5632" width="9.140625" style="2"/>
    <col min="5633" max="5633" width="15" style="2" customWidth="1"/>
    <col min="5634" max="5634" width="35.28515625" style="2" customWidth="1"/>
    <col min="5635" max="5635" width="37.140625" style="2" customWidth="1"/>
    <col min="5636" max="5636" width="15.7109375" style="2" customWidth="1"/>
    <col min="5637" max="5638" width="13.7109375" style="2" customWidth="1"/>
    <col min="5639" max="5639" width="14" style="2" customWidth="1"/>
    <col min="5640" max="5640" width="15.28515625" style="2" customWidth="1"/>
    <col min="5641" max="5641" width="17.7109375" style="2" customWidth="1"/>
    <col min="5642" max="5642" width="21.140625" style="2" customWidth="1"/>
    <col min="5643" max="5888" width="9.140625" style="2"/>
    <col min="5889" max="5889" width="15" style="2" customWidth="1"/>
    <col min="5890" max="5890" width="35.28515625" style="2" customWidth="1"/>
    <col min="5891" max="5891" width="37.140625" style="2" customWidth="1"/>
    <col min="5892" max="5892" width="15.7109375" style="2" customWidth="1"/>
    <col min="5893" max="5894" width="13.7109375" style="2" customWidth="1"/>
    <col min="5895" max="5895" width="14" style="2" customWidth="1"/>
    <col min="5896" max="5896" width="15.28515625" style="2" customWidth="1"/>
    <col min="5897" max="5897" width="17.7109375" style="2" customWidth="1"/>
    <col min="5898" max="5898" width="21.140625" style="2" customWidth="1"/>
    <col min="5899" max="6144" width="9.140625" style="2"/>
    <col min="6145" max="6145" width="15" style="2" customWidth="1"/>
    <col min="6146" max="6146" width="35.28515625" style="2" customWidth="1"/>
    <col min="6147" max="6147" width="37.140625" style="2" customWidth="1"/>
    <col min="6148" max="6148" width="15.7109375" style="2" customWidth="1"/>
    <col min="6149" max="6150" width="13.7109375" style="2" customWidth="1"/>
    <col min="6151" max="6151" width="14" style="2" customWidth="1"/>
    <col min="6152" max="6152" width="15.28515625" style="2" customWidth="1"/>
    <col min="6153" max="6153" width="17.7109375" style="2" customWidth="1"/>
    <col min="6154" max="6154" width="21.140625" style="2" customWidth="1"/>
    <col min="6155" max="6400" width="9.140625" style="2"/>
    <col min="6401" max="6401" width="15" style="2" customWidth="1"/>
    <col min="6402" max="6402" width="35.28515625" style="2" customWidth="1"/>
    <col min="6403" max="6403" width="37.140625" style="2" customWidth="1"/>
    <col min="6404" max="6404" width="15.7109375" style="2" customWidth="1"/>
    <col min="6405" max="6406" width="13.7109375" style="2" customWidth="1"/>
    <col min="6407" max="6407" width="14" style="2" customWidth="1"/>
    <col min="6408" max="6408" width="15.28515625" style="2" customWidth="1"/>
    <col min="6409" max="6409" width="17.7109375" style="2" customWidth="1"/>
    <col min="6410" max="6410" width="21.140625" style="2" customWidth="1"/>
    <col min="6411" max="6656" width="9.140625" style="2"/>
    <col min="6657" max="6657" width="15" style="2" customWidth="1"/>
    <col min="6658" max="6658" width="35.28515625" style="2" customWidth="1"/>
    <col min="6659" max="6659" width="37.140625" style="2" customWidth="1"/>
    <col min="6660" max="6660" width="15.7109375" style="2" customWidth="1"/>
    <col min="6661" max="6662" width="13.7109375" style="2" customWidth="1"/>
    <col min="6663" max="6663" width="14" style="2" customWidth="1"/>
    <col min="6664" max="6664" width="15.28515625" style="2" customWidth="1"/>
    <col min="6665" max="6665" width="17.7109375" style="2" customWidth="1"/>
    <col min="6666" max="6666" width="21.140625" style="2" customWidth="1"/>
    <col min="6667" max="6912" width="9.140625" style="2"/>
    <col min="6913" max="6913" width="15" style="2" customWidth="1"/>
    <col min="6914" max="6914" width="35.28515625" style="2" customWidth="1"/>
    <col min="6915" max="6915" width="37.140625" style="2" customWidth="1"/>
    <col min="6916" max="6916" width="15.7109375" style="2" customWidth="1"/>
    <col min="6917" max="6918" width="13.7109375" style="2" customWidth="1"/>
    <col min="6919" max="6919" width="14" style="2" customWidth="1"/>
    <col min="6920" max="6920" width="15.28515625" style="2" customWidth="1"/>
    <col min="6921" max="6921" width="17.7109375" style="2" customWidth="1"/>
    <col min="6922" max="6922" width="21.140625" style="2" customWidth="1"/>
    <col min="6923" max="7168" width="9.140625" style="2"/>
    <col min="7169" max="7169" width="15" style="2" customWidth="1"/>
    <col min="7170" max="7170" width="35.28515625" style="2" customWidth="1"/>
    <col min="7171" max="7171" width="37.140625" style="2" customWidth="1"/>
    <col min="7172" max="7172" width="15.7109375" style="2" customWidth="1"/>
    <col min="7173" max="7174" width="13.7109375" style="2" customWidth="1"/>
    <col min="7175" max="7175" width="14" style="2" customWidth="1"/>
    <col min="7176" max="7176" width="15.28515625" style="2" customWidth="1"/>
    <col min="7177" max="7177" width="17.7109375" style="2" customWidth="1"/>
    <col min="7178" max="7178" width="21.140625" style="2" customWidth="1"/>
    <col min="7179" max="7424" width="9.140625" style="2"/>
    <col min="7425" max="7425" width="15" style="2" customWidth="1"/>
    <col min="7426" max="7426" width="35.28515625" style="2" customWidth="1"/>
    <col min="7427" max="7427" width="37.140625" style="2" customWidth="1"/>
    <col min="7428" max="7428" width="15.7109375" style="2" customWidth="1"/>
    <col min="7429" max="7430" width="13.7109375" style="2" customWidth="1"/>
    <col min="7431" max="7431" width="14" style="2" customWidth="1"/>
    <col min="7432" max="7432" width="15.28515625" style="2" customWidth="1"/>
    <col min="7433" max="7433" width="17.7109375" style="2" customWidth="1"/>
    <col min="7434" max="7434" width="21.140625" style="2" customWidth="1"/>
    <col min="7435" max="7680" width="9.140625" style="2"/>
    <col min="7681" max="7681" width="15" style="2" customWidth="1"/>
    <col min="7682" max="7682" width="35.28515625" style="2" customWidth="1"/>
    <col min="7683" max="7683" width="37.140625" style="2" customWidth="1"/>
    <col min="7684" max="7684" width="15.7109375" style="2" customWidth="1"/>
    <col min="7685" max="7686" width="13.7109375" style="2" customWidth="1"/>
    <col min="7687" max="7687" width="14" style="2" customWidth="1"/>
    <col min="7688" max="7688" width="15.28515625" style="2" customWidth="1"/>
    <col min="7689" max="7689" width="17.7109375" style="2" customWidth="1"/>
    <col min="7690" max="7690" width="21.140625" style="2" customWidth="1"/>
    <col min="7691" max="7936" width="9.140625" style="2"/>
    <col min="7937" max="7937" width="15" style="2" customWidth="1"/>
    <col min="7938" max="7938" width="35.28515625" style="2" customWidth="1"/>
    <col min="7939" max="7939" width="37.140625" style="2" customWidth="1"/>
    <col min="7940" max="7940" width="15.7109375" style="2" customWidth="1"/>
    <col min="7941" max="7942" width="13.7109375" style="2" customWidth="1"/>
    <col min="7943" max="7943" width="14" style="2" customWidth="1"/>
    <col min="7944" max="7944" width="15.28515625" style="2" customWidth="1"/>
    <col min="7945" max="7945" width="17.7109375" style="2" customWidth="1"/>
    <col min="7946" max="7946" width="21.140625" style="2" customWidth="1"/>
    <col min="7947" max="8192" width="9.140625" style="2"/>
    <col min="8193" max="8193" width="15" style="2" customWidth="1"/>
    <col min="8194" max="8194" width="35.28515625" style="2" customWidth="1"/>
    <col min="8195" max="8195" width="37.140625" style="2" customWidth="1"/>
    <col min="8196" max="8196" width="15.7109375" style="2" customWidth="1"/>
    <col min="8197" max="8198" width="13.7109375" style="2" customWidth="1"/>
    <col min="8199" max="8199" width="14" style="2" customWidth="1"/>
    <col min="8200" max="8200" width="15.28515625" style="2" customWidth="1"/>
    <col min="8201" max="8201" width="17.7109375" style="2" customWidth="1"/>
    <col min="8202" max="8202" width="21.140625" style="2" customWidth="1"/>
    <col min="8203" max="8448" width="9.140625" style="2"/>
    <col min="8449" max="8449" width="15" style="2" customWidth="1"/>
    <col min="8450" max="8450" width="35.28515625" style="2" customWidth="1"/>
    <col min="8451" max="8451" width="37.140625" style="2" customWidth="1"/>
    <col min="8452" max="8452" width="15.7109375" style="2" customWidth="1"/>
    <col min="8453" max="8454" width="13.7109375" style="2" customWidth="1"/>
    <col min="8455" max="8455" width="14" style="2" customWidth="1"/>
    <col min="8456" max="8456" width="15.28515625" style="2" customWidth="1"/>
    <col min="8457" max="8457" width="17.7109375" style="2" customWidth="1"/>
    <col min="8458" max="8458" width="21.140625" style="2" customWidth="1"/>
    <col min="8459" max="8704" width="9.140625" style="2"/>
    <col min="8705" max="8705" width="15" style="2" customWidth="1"/>
    <col min="8706" max="8706" width="35.28515625" style="2" customWidth="1"/>
    <col min="8707" max="8707" width="37.140625" style="2" customWidth="1"/>
    <col min="8708" max="8708" width="15.7109375" style="2" customWidth="1"/>
    <col min="8709" max="8710" width="13.7109375" style="2" customWidth="1"/>
    <col min="8711" max="8711" width="14" style="2" customWidth="1"/>
    <col min="8712" max="8712" width="15.28515625" style="2" customWidth="1"/>
    <col min="8713" max="8713" width="17.7109375" style="2" customWidth="1"/>
    <col min="8714" max="8714" width="21.140625" style="2" customWidth="1"/>
    <col min="8715" max="8960" width="9.140625" style="2"/>
    <col min="8961" max="8961" width="15" style="2" customWidth="1"/>
    <col min="8962" max="8962" width="35.28515625" style="2" customWidth="1"/>
    <col min="8963" max="8963" width="37.140625" style="2" customWidth="1"/>
    <col min="8964" max="8964" width="15.7109375" style="2" customWidth="1"/>
    <col min="8965" max="8966" width="13.7109375" style="2" customWidth="1"/>
    <col min="8967" max="8967" width="14" style="2" customWidth="1"/>
    <col min="8968" max="8968" width="15.28515625" style="2" customWidth="1"/>
    <col min="8969" max="8969" width="17.7109375" style="2" customWidth="1"/>
    <col min="8970" max="8970" width="21.140625" style="2" customWidth="1"/>
    <col min="8971" max="9216" width="9.140625" style="2"/>
    <col min="9217" max="9217" width="15" style="2" customWidth="1"/>
    <col min="9218" max="9218" width="35.28515625" style="2" customWidth="1"/>
    <col min="9219" max="9219" width="37.140625" style="2" customWidth="1"/>
    <col min="9220" max="9220" width="15.7109375" style="2" customWidth="1"/>
    <col min="9221" max="9222" width="13.7109375" style="2" customWidth="1"/>
    <col min="9223" max="9223" width="14" style="2" customWidth="1"/>
    <col min="9224" max="9224" width="15.28515625" style="2" customWidth="1"/>
    <col min="9225" max="9225" width="17.7109375" style="2" customWidth="1"/>
    <col min="9226" max="9226" width="21.140625" style="2" customWidth="1"/>
    <col min="9227" max="9472" width="9.140625" style="2"/>
    <col min="9473" max="9473" width="15" style="2" customWidth="1"/>
    <col min="9474" max="9474" width="35.28515625" style="2" customWidth="1"/>
    <col min="9475" max="9475" width="37.140625" style="2" customWidth="1"/>
    <col min="9476" max="9476" width="15.7109375" style="2" customWidth="1"/>
    <col min="9477" max="9478" width="13.7109375" style="2" customWidth="1"/>
    <col min="9479" max="9479" width="14" style="2" customWidth="1"/>
    <col min="9480" max="9480" width="15.28515625" style="2" customWidth="1"/>
    <col min="9481" max="9481" width="17.7109375" style="2" customWidth="1"/>
    <col min="9482" max="9482" width="21.140625" style="2" customWidth="1"/>
    <col min="9483" max="9728" width="9.140625" style="2"/>
    <col min="9729" max="9729" width="15" style="2" customWidth="1"/>
    <col min="9730" max="9730" width="35.28515625" style="2" customWidth="1"/>
    <col min="9731" max="9731" width="37.140625" style="2" customWidth="1"/>
    <col min="9732" max="9732" width="15.7109375" style="2" customWidth="1"/>
    <col min="9733" max="9734" width="13.7109375" style="2" customWidth="1"/>
    <col min="9735" max="9735" width="14" style="2" customWidth="1"/>
    <col min="9736" max="9736" width="15.28515625" style="2" customWidth="1"/>
    <col min="9737" max="9737" width="17.7109375" style="2" customWidth="1"/>
    <col min="9738" max="9738" width="21.140625" style="2" customWidth="1"/>
    <col min="9739" max="9984" width="9.140625" style="2"/>
    <col min="9985" max="9985" width="15" style="2" customWidth="1"/>
    <col min="9986" max="9986" width="35.28515625" style="2" customWidth="1"/>
    <col min="9987" max="9987" width="37.140625" style="2" customWidth="1"/>
    <col min="9988" max="9988" width="15.7109375" style="2" customWidth="1"/>
    <col min="9989" max="9990" width="13.7109375" style="2" customWidth="1"/>
    <col min="9991" max="9991" width="14" style="2" customWidth="1"/>
    <col min="9992" max="9992" width="15.28515625" style="2" customWidth="1"/>
    <col min="9993" max="9993" width="17.7109375" style="2" customWidth="1"/>
    <col min="9994" max="9994" width="21.140625" style="2" customWidth="1"/>
    <col min="9995" max="10240" width="9.140625" style="2"/>
    <col min="10241" max="10241" width="15" style="2" customWidth="1"/>
    <col min="10242" max="10242" width="35.28515625" style="2" customWidth="1"/>
    <col min="10243" max="10243" width="37.140625" style="2" customWidth="1"/>
    <col min="10244" max="10244" width="15.7109375" style="2" customWidth="1"/>
    <col min="10245" max="10246" width="13.7109375" style="2" customWidth="1"/>
    <col min="10247" max="10247" width="14" style="2" customWidth="1"/>
    <col min="10248" max="10248" width="15.28515625" style="2" customWidth="1"/>
    <col min="10249" max="10249" width="17.7109375" style="2" customWidth="1"/>
    <col min="10250" max="10250" width="21.140625" style="2" customWidth="1"/>
    <col min="10251" max="10496" width="9.140625" style="2"/>
    <col min="10497" max="10497" width="15" style="2" customWidth="1"/>
    <col min="10498" max="10498" width="35.28515625" style="2" customWidth="1"/>
    <col min="10499" max="10499" width="37.140625" style="2" customWidth="1"/>
    <col min="10500" max="10500" width="15.7109375" style="2" customWidth="1"/>
    <col min="10501" max="10502" width="13.7109375" style="2" customWidth="1"/>
    <col min="10503" max="10503" width="14" style="2" customWidth="1"/>
    <col min="10504" max="10504" width="15.28515625" style="2" customWidth="1"/>
    <col min="10505" max="10505" width="17.7109375" style="2" customWidth="1"/>
    <col min="10506" max="10506" width="21.140625" style="2" customWidth="1"/>
    <col min="10507" max="10752" width="9.140625" style="2"/>
    <col min="10753" max="10753" width="15" style="2" customWidth="1"/>
    <col min="10754" max="10754" width="35.28515625" style="2" customWidth="1"/>
    <col min="10755" max="10755" width="37.140625" style="2" customWidth="1"/>
    <col min="10756" max="10756" width="15.7109375" style="2" customWidth="1"/>
    <col min="10757" max="10758" width="13.7109375" style="2" customWidth="1"/>
    <col min="10759" max="10759" width="14" style="2" customWidth="1"/>
    <col min="10760" max="10760" width="15.28515625" style="2" customWidth="1"/>
    <col min="10761" max="10761" width="17.7109375" style="2" customWidth="1"/>
    <col min="10762" max="10762" width="21.140625" style="2" customWidth="1"/>
    <col min="10763" max="11008" width="9.140625" style="2"/>
    <col min="11009" max="11009" width="15" style="2" customWidth="1"/>
    <col min="11010" max="11010" width="35.28515625" style="2" customWidth="1"/>
    <col min="11011" max="11011" width="37.140625" style="2" customWidth="1"/>
    <col min="11012" max="11012" width="15.7109375" style="2" customWidth="1"/>
    <col min="11013" max="11014" width="13.7109375" style="2" customWidth="1"/>
    <col min="11015" max="11015" width="14" style="2" customWidth="1"/>
    <col min="11016" max="11016" width="15.28515625" style="2" customWidth="1"/>
    <col min="11017" max="11017" width="17.7109375" style="2" customWidth="1"/>
    <col min="11018" max="11018" width="21.140625" style="2" customWidth="1"/>
    <col min="11019" max="11264" width="9.140625" style="2"/>
    <col min="11265" max="11265" width="15" style="2" customWidth="1"/>
    <col min="11266" max="11266" width="35.28515625" style="2" customWidth="1"/>
    <col min="11267" max="11267" width="37.140625" style="2" customWidth="1"/>
    <col min="11268" max="11268" width="15.7109375" style="2" customWidth="1"/>
    <col min="11269" max="11270" width="13.7109375" style="2" customWidth="1"/>
    <col min="11271" max="11271" width="14" style="2" customWidth="1"/>
    <col min="11272" max="11272" width="15.28515625" style="2" customWidth="1"/>
    <col min="11273" max="11273" width="17.7109375" style="2" customWidth="1"/>
    <col min="11274" max="11274" width="21.140625" style="2" customWidth="1"/>
    <col min="11275" max="11520" width="9.140625" style="2"/>
    <col min="11521" max="11521" width="15" style="2" customWidth="1"/>
    <col min="11522" max="11522" width="35.28515625" style="2" customWidth="1"/>
    <col min="11523" max="11523" width="37.140625" style="2" customWidth="1"/>
    <col min="11524" max="11524" width="15.7109375" style="2" customWidth="1"/>
    <col min="11525" max="11526" width="13.7109375" style="2" customWidth="1"/>
    <col min="11527" max="11527" width="14" style="2" customWidth="1"/>
    <col min="11528" max="11528" width="15.28515625" style="2" customWidth="1"/>
    <col min="11529" max="11529" width="17.7109375" style="2" customWidth="1"/>
    <col min="11530" max="11530" width="21.140625" style="2" customWidth="1"/>
    <col min="11531" max="11776" width="9.140625" style="2"/>
    <col min="11777" max="11777" width="15" style="2" customWidth="1"/>
    <col min="11778" max="11778" width="35.28515625" style="2" customWidth="1"/>
    <col min="11779" max="11779" width="37.140625" style="2" customWidth="1"/>
    <col min="11780" max="11780" width="15.7109375" style="2" customWidth="1"/>
    <col min="11781" max="11782" width="13.7109375" style="2" customWidth="1"/>
    <col min="11783" max="11783" width="14" style="2" customWidth="1"/>
    <col min="11784" max="11784" width="15.28515625" style="2" customWidth="1"/>
    <col min="11785" max="11785" width="17.7109375" style="2" customWidth="1"/>
    <col min="11786" max="11786" width="21.140625" style="2" customWidth="1"/>
    <col min="11787" max="12032" width="9.140625" style="2"/>
    <col min="12033" max="12033" width="15" style="2" customWidth="1"/>
    <col min="12034" max="12034" width="35.28515625" style="2" customWidth="1"/>
    <col min="12035" max="12035" width="37.140625" style="2" customWidth="1"/>
    <col min="12036" max="12036" width="15.7109375" style="2" customWidth="1"/>
    <col min="12037" max="12038" width="13.7109375" style="2" customWidth="1"/>
    <col min="12039" max="12039" width="14" style="2" customWidth="1"/>
    <col min="12040" max="12040" width="15.28515625" style="2" customWidth="1"/>
    <col min="12041" max="12041" width="17.7109375" style="2" customWidth="1"/>
    <col min="12042" max="12042" width="21.140625" style="2" customWidth="1"/>
    <col min="12043" max="12288" width="9.140625" style="2"/>
    <col min="12289" max="12289" width="15" style="2" customWidth="1"/>
    <col min="12290" max="12290" width="35.28515625" style="2" customWidth="1"/>
    <col min="12291" max="12291" width="37.140625" style="2" customWidth="1"/>
    <col min="12292" max="12292" width="15.7109375" style="2" customWidth="1"/>
    <col min="12293" max="12294" width="13.7109375" style="2" customWidth="1"/>
    <col min="12295" max="12295" width="14" style="2" customWidth="1"/>
    <col min="12296" max="12296" width="15.28515625" style="2" customWidth="1"/>
    <col min="12297" max="12297" width="17.7109375" style="2" customWidth="1"/>
    <col min="12298" max="12298" width="21.140625" style="2" customWidth="1"/>
    <col min="12299" max="12544" width="9.140625" style="2"/>
    <col min="12545" max="12545" width="15" style="2" customWidth="1"/>
    <col min="12546" max="12546" width="35.28515625" style="2" customWidth="1"/>
    <col min="12547" max="12547" width="37.140625" style="2" customWidth="1"/>
    <col min="12548" max="12548" width="15.7109375" style="2" customWidth="1"/>
    <col min="12549" max="12550" width="13.7109375" style="2" customWidth="1"/>
    <col min="12551" max="12551" width="14" style="2" customWidth="1"/>
    <col min="12552" max="12552" width="15.28515625" style="2" customWidth="1"/>
    <col min="12553" max="12553" width="17.7109375" style="2" customWidth="1"/>
    <col min="12554" max="12554" width="21.140625" style="2" customWidth="1"/>
    <col min="12555" max="12800" width="9.140625" style="2"/>
    <col min="12801" max="12801" width="15" style="2" customWidth="1"/>
    <col min="12802" max="12802" width="35.28515625" style="2" customWidth="1"/>
    <col min="12803" max="12803" width="37.140625" style="2" customWidth="1"/>
    <col min="12804" max="12804" width="15.7109375" style="2" customWidth="1"/>
    <col min="12805" max="12806" width="13.7109375" style="2" customWidth="1"/>
    <col min="12807" max="12807" width="14" style="2" customWidth="1"/>
    <col min="12808" max="12808" width="15.28515625" style="2" customWidth="1"/>
    <col min="12809" max="12809" width="17.7109375" style="2" customWidth="1"/>
    <col min="12810" max="12810" width="21.140625" style="2" customWidth="1"/>
    <col min="12811" max="13056" width="9.140625" style="2"/>
    <col min="13057" max="13057" width="15" style="2" customWidth="1"/>
    <col min="13058" max="13058" width="35.28515625" style="2" customWidth="1"/>
    <col min="13059" max="13059" width="37.140625" style="2" customWidth="1"/>
    <col min="13060" max="13060" width="15.7109375" style="2" customWidth="1"/>
    <col min="13061" max="13062" width="13.7109375" style="2" customWidth="1"/>
    <col min="13063" max="13063" width="14" style="2" customWidth="1"/>
    <col min="13064" max="13064" width="15.28515625" style="2" customWidth="1"/>
    <col min="13065" max="13065" width="17.7109375" style="2" customWidth="1"/>
    <col min="13066" max="13066" width="21.140625" style="2" customWidth="1"/>
    <col min="13067" max="13312" width="9.140625" style="2"/>
    <col min="13313" max="13313" width="15" style="2" customWidth="1"/>
    <col min="13314" max="13314" width="35.28515625" style="2" customWidth="1"/>
    <col min="13315" max="13315" width="37.140625" style="2" customWidth="1"/>
    <col min="13316" max="13316" width="15.7109375" style="2" customWidth="1"/>
    <col min="13317" max="13318" width="13.7109375" style="2" customWidth="1"/>
    <col min="13319" max="13319" width="14" style="2" customWidth="1"/>
    <col min="13320" max="13320" width="15.28515625" style="2" customWidth="1"/>
    <col min="13321" max="13321" width="17.7109375" style="2" customWidth="1"/>
    <col min="13322" max="13322" width="21.140625" style="2" customWidth="1"/>
    <col min="13323" max="13568" width="9.140625" style="2"/>
    <col min="13569" max="13569" width="15" style="2" customWidth="1"/>
    <col min="13570" max="13570" width="35.28515625" style="2" customWidth="1"/>
    <col min="13571" max="13571" width="37.140625" style="2" customWidth="1"/>
    <col min="13572" max="13572" width="15.7109375" style="2" customWidth="1"/>
    <col min="13573" max="13574" width="13.7109375" style="2" customWidth="1"/>
    <col min="13575" max="13575" width="14" style="2" customWidth="1"/>
    <col min="13576" max="13576" width="15.28515625" style="2" customWidth="1"/>
    <col min="13577" max="13577" width="17.7109375" style="2" customWidth="1"/>
    <col min="13578" max="13578" width="21.140625" style="2" customWidth="1"/>
    <col min="13579" max="13824" width="9.140625" style="2"/>
    <col min="13825" max="13825" width="15" style="2" customWidth="1"/>
    <col min="13826" max="13826" width="35.28515625" style="2" customWidth="1"/>
    <col min="13827" max="13827" width="37.140625" style="2" customWidth="1"/>
    <col min="13828" max="13828" width="15.7109375" style="2" customWidth="1"/>
    <col min="13829" max="13830" width="13.7109375" style="2" customWidth="1"/>
    <col min="13831" max="13831" width="14" style="2" customWidth="1"/>
    <col min="13832" max="13832" width="15.28515625" style="2" customWidth="1"/>
    <col min="13833" max="13833" width="17.7109375" style="2" customWidth="1"/>
    <col min="13834" max="13834" width="21.140625" style="2" customWidth="1"/>
    <col min="13835" max="14080" width="9.140625" style="2"/>
    <col min="14081" max="14081" width="15" style="2" customWidth="1"/>
    <col min="14082" max="14082" width="35.28515625" style="2" customWidth="1"/>
    <col min="14083" max="14083" width="37.140625" style="2" customWidth="1"/>
    <col min="14084" max="14084" width="15.7109375" style="2" customWidth="1"/>
    <col min="14085" max="14086" width="13.7109375" style="2" customWidth="1"/>
    <col min="14087" max="14087" width="14" style="2" customWidth="1"/>
    <col min="14088" max="14088" width="15.28515625" style="2" customWidth="1"/>
    <col min="14089" max="14089" width="17.7109375" style="2" customWidth="1"/>
    <col min="14090" max="14090" width="21.140625" style="2" customWidth="1"/>
    <col min="14091" max="14336" width="9.140625" style="2"/>
    <col min="14337" max="14337" width="15" style="2" customWidth="1"/>
    <col min="14338" max="14338" width="35.28515625" style="2" customWidth="1"/>
    <col min="14339" max="14339" width="37.140625" style="2" customWidth="1"/>
    <col min="14340" max="14340" width="15.7109375" style="2" customWidth="1"/>
    <col min="14341" max="14342" width="13.7109375" style="2" customWidth="1"/>
    <col min="14343" max="14343" width="14" style="2" customWidth="1"/>
    <col min="14344" max="14344" width="15.28515625" style="2" customWidth="1"/>
    <col min="14345" max="14345" width="17.7109375" style="2" customWidth="1"/>
    <col min="14346" max="14346" width="21.140625" style="2" customWidth="1"/>
    <col min="14347" max="14592" width="9.140625" style="2"/>
    <col min="14593" max="14593" width="15" style="2" customWidth="1"/>
    <col min="14594" max="14594" width="35.28515625" style="2" customWidth="1"/>
    <col min="14595" max="14595" width="37.140625" style="2" customWidth="1"/>
    <col min="14596" max="14596" width="15.7109375" style="2" customWidth="1"/>
    <col min="14597" max="14598" width="13.7109375" style="2" customWidth="1"/>
    <col min="14599" max="14599" width="14" style="2" customWidth="1"/>
    <col min="14600" max="14600" width="15.28515625" style="2" customWidth="1"/>
    <col min="14601" max="14601" width="17.7109375" style="2" customWidth="1"/>
    <col min="14602" max="14602" width="21.140625" style="2" customWidth="1"/>
    <col min="14603" max="14848" width="9.140625" style="2"/>
    <col min="14849" max="14849" width="15" style="2" customWidth="1"/>
    <col min="14850" max="14850" width="35.28515625" style="2" customWidth="1"/>
    <col min="14851" max="14851" width="37.140625" style="2" customWidth="1"/>
    <col min="14852" max="14852" width="15.7109375" style="2" customWidth="1"/>
    <col min="14853" max="14854" width="13.7109375" style="2" customWidth="1"/>
    <col min="14855" max="14855" width="14" style="2" customWidth="1"/>
    <col min="14856" max="14856" width="15.28515625" style="2" customWidth="1"/>
    <col min="14857" max="14857" width="17.7109375" style="2" customWidth="1"/>
    <col min="14858" max="14858" width="21.140625" style="2" customWidth="1"/>
    <col min="14859" max="15104" width="9.140625" style="2"/>
    <col min="15105" max="15105" width="15" style="2" customWidth="1"/>
    <col min="15106" max="15106" width="35.28515625" style="2" customWidth="1"/>
    <col min="15107" max="15107" width="37.140625" style="2" customWidth="1"/>
    <col min="15108" max="15108" width="15.7109375" style="2" customWidth="1"/>
    <col min="15109" max="15110" width="13.7109375" style="2" customWidth="1"/>
    <col min="15111" max="15111" width="14" style="2" customWidth="1"/>
    <col min="15112" max="15112" width="15.28515625" style="2" customWidth="1"/>
    <col min="15113" max="15113" width="17.7109375" style="2" customWidth="1"/>
    <col min="15114" max="15114" width="21.140625" style="2" customWidth="1"/>
    <col min="15115" max="15360" width="9.140625" style="2"/>
    <col min="15361" max="15361" width="15" style="2" customWidth="1"/>
    <col min="15362" max="15362" width="35.28515625" style="2" customWidth="1"/>
    <col min="15363" max="15363" width="37.140625" style="2" customWidth="1"/>
    <col min="15364" max="15364" width="15.7109375" style="2" customWidth="1"/>
    <col min="15365" max="15366" width="13.7109375" style="2" customWidth="1"/>
    <col min="15367" max="15367" width="14" style="2" customWidth="1"/>
    <col min="15368" max="15368" width="15.28515625" style="2" customWidth="1"/>
    <col min="15369" max="15369" width="17.7109375" style="2" customWidth="1"/>
    <col min="15370" max="15370" width="21.140625" style="2" customWidth="1"/>
    <col min="15371" max="15616" width="9.140625" style="2"/>
    <col min="15617" max="15617" width="15" style="2" customWidth="1"/>
    <col min="15618" max="15618" width="35.28515625" style="2" customWidth="1"/>
    <col min="15619" max="15619" width="37.140625" style="2" customWidth="1"/>
    <col min="15620" max="15620" width="15.7109375" style="2" customWidth="1"/>
    <col min="15621" max="15622" width="13.7109375" style="2" customWidth="1"/>
    <col min="15623" max="15623" width="14" style="2" customWidth="1"/>
    <col min="15624" max="15624" width="15.28515625" style="2" customWidth="1"/>
    <col min="15625" max="15625" width="17.7109375" style="2" customWidth="1"/>
    <col min="15626" max="15626" width="21.140625" style="2" customWidth="1"/>
    <col min="15627" max="15872" width="9.140625" style="2"/>
    <col min="15873" max="15873" width="15" style="2" customWidth="1"/>
    <col min="15874" max="15874" width="35.28515625" style="2" customWidth="1"/>
    <col min="15875" max="15875" width="37.140625" style="2" customWidth="1"/>
    <col min="15876" max="15876" width="15.7109375" style="2" customWidth="1"/>
    <col min="15877" max="15878" width="13.7109375" style="2" customWidth="1"/>
    <col min="15879" max="15879" width="14" style="2" customWidth="1"/>
    <col min="15880" max="15880" width="15.28515625" style="2" customWidth="1"/>
    <col min="15881" max="15881" width="17.7109375" style="2" customWidth="1"/>
    <col min="15882" max="15882" width="21.140625" style="2" customWidth="1"/>
    <col min="15883" max="16128" width="9.140625" style="2"/>
    <col min="16129" max="16129" width="15" style="2" customWidth="1"/>
    <col min="16130" max="16130" width="35.28515625" style="2" customWidth="1"/>
    <col min="16131" max="16131" width="37.140625" style="2" customWidth="1"/>
    <col min="16132" max="16132" width="15.7109375" style="2" customWidth="1"/>
    <col min="16133" max="16134" width="13.7109375" style="2" customWidth="1"/>
    <col min="16135" max="16135" width="14" style="2" customWidth="1"/>
    <col min="16136" max="16136" width="15.28515625" style="2" customWidth="1"/>
    <col min="16137" max="16137" width="17.7109375" style="2" customWidth="1"/>
    <col min="16138" max="16138" width="21.140625" style="2" customWidth="1"/>
    <col min="16139" max="16384" width="9.140625" style="2"/>
  </cols>
  <sheetData>
    <row r="1" spans="1:85" s="36" customFormat="1" ht="3.75" customHeight="1" thickBot="1" x14ac:dyDescent="0.25">
      <c r="A1" s="294"/>
      <c r="B1" s="294"/>
      <c r="C1" s="294"/>
      <c r="D1" s="294"/>
      <c r="E1" s="294"/>
      <c r="F1" s="294"/>
      <c r="G1" s="294"/>
      <c r="H1" s="294"/>
      <c r="I1" s="294"/>
      <c r="J1" s="294"/>
    </row>
    <row r="2" spans="1:85" s="36" customFormat="1" ht="45" customHeight="1" thickBot="1" x14ac:dyDescent="0.25">
      <c r="A2" s="299" t="s">
        <v>36</v>
      </c>
      <c r="B2" s="300"/>
      <c r="C2" s="300"/>
      <c r="D2" s="300"/>
      <c r="E2" s="300"/>
      <c r="F2" s="300"/>
      <c r="G2" s="300"/>
      <c r="H2" s="300"/>
      <c r="I2" s="300"/>
      <c r="J2" s="301"/>
    </row>
    <row r="3" spans="1:85" s="36" customFormat="1" ht="3.75" customHeight="1" x14ac:dyDescent="0.2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85" s="38" customFormat="1" ht="15" customHeight="1" x14ac:dyDescent="0.25">
      <c r="A4" s="277" t="str">
        <f>ORÇAMENTO!B2</f>
        <v>PREFEITURA MUNICIPAL DE SÃO FRANCISCO-MG</v>
      </c>
      <c r="B4" s="278"/>
      <c r="C4" s="278"/>
      <c r="D4" s="278"/>
      <c r="E4" s="278"/>
      <c r="F4" s="278"/>
      <c r="G4" s="278"/>
      <c r="H4" s="278"/>
      <c r="I4" s="278"/>
      <c r="J4" s="279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</row>
    <row r="5" spans="1:85" s="38" customFormat="1" ht="15" customHeight="1" x14ac:dyDescent="0.25">
      <c r="A5" s="277" t="str">
        <f>ORÇAMENTO!B3</f>
        <v>OBRA: REFORMA DE CASAS DE BOMBAS PARA DRENAGEM DE ÁGUAS PLUVIAIS EM BACIAS DE ACUMULAÇÃO NO MUNICÍPIO DE SÃO FRANCISCO-MG</v>
      </c>
      <c r="B5" s="278"/>
      <c r="C5" s="278"/>
      <c r="D5" s="278"/>
      <c r="E5" s="278"/>
      <c r="F5" s="278"/>
      <c r="G5" s="278"/>
      <c r="H5" s="278"/>
      <c r="I5" s="278"/>
      <c r="J5" s="279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</row>
    <row r="6" spans="1:85" s="38" customFormat="1" ht="26.25" customHeight="1" x14ac:dyDescent="0.25">
      <c r="A6" s="277" t="str">
        <f>ORÇAMENTO!B4</f>
        <v>LOCAL: RUA DE GESÉLIO GENEROSO E AVENIDA PRESIDENTE DUTRA, S/N EM SÃO FRANCISCO-MG</v>
      </c>
      <c r="B6" s="278"/>
      <c r="C6" s="278"/>
      <c r="D6" s="278"/>
      <c r="E6" s="280"/>
      <c r="F6" s="53" t="s">
        <v>5</v>
      </c>
      <c r="G6" s="302" t="s">
        <v>50</v>
      </c>
      <c r="H6" s="303"/>
      <c r="I6" s="54" t="s">
        <v>4</v>
      </c>
      <c r="J6" s="117">
        <f ca="1">TODAY()</f>
        <v>46010</v>
      </c>
      <c r="K6" s="96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9"/>
      <c r="BS6" s="39"/>
      <c r="BT6" s="39"/>
      <c r="BU6" s="39"/>
    </row>
    <row r="7" spans="1:85" s="1" customFormat="1" ht="7.5" customHeight="1" x14ac:dyDescent="0.2">
      <c r="A7" s="304"/>
      <c r="B7" s="305"/>
      <c r="C7" s="305"/>
      <c r="D7" s="305"/>
      <c r="E7" s="305"/>
      <c r="F7" s="305"/>
      <c r="G7" s="305"/>
      <c r="H7" s="305"/>
      <c r="I7" s="305"/>
      <c r="J7" s="30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</row>
    <row r="8" spans="1:85" s="1" customFormat="1" ht="18" customHeight="1" x14ac:dyDescent="0.2">
      <c r="A8" s="313" t="str">
        <f>ORÇAMENTO!B7</f>
        <v xml:space="preserve"> REFORMA DE CASA DE BOMBAS PARA DRENAGEM DE ÁGUAS PLUVIAIS EM BACIA DE ACUMULAÇÃO </v>
      </c>
      <c r="B8" s="314"/>
      <c r="C8" s="314"/>
      <c r="D8" s="314"/>
      <c r="E8" s="314"/>
      <c r="F8" s="314"/>
      <c r="G8" s="314"/>
      <c r="H8" s="314"/>
      <c r="I8" s="314"/>
      <c r="J8" s="31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</row>
    <row r="9" spans="1:85" s="1" customFormat="1" ht="7.5" customHeight="1" x14ac:dyDescent="0.2">
      <c r="A9" s="310"/>
      <c r="B9" s="311"/>
      <c r="C9" s="311"/>
      <c r="D9" s="311"/>
      <c r="E9" s="311"/>
      <c r="F9" s="311"/>
      <c r="G9" s="311"/>
      <c r="H9" s="311"/>
      <c r="I9" s="311"/>
      <c r="J9" s="3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85" s="1" customFormat="1" ht="20.100000000000001" customHeight="1" x14ac:dyDescent="0.2">
      <c r="A10" s="118">
        <v>1</v>
      </c>
      <c r="B10" s="269" t="str">
        <f>VLOOKUP(A10,ORÇAMENTO!B:K,2,FALSE)</f>
        <v xml:space="preserve">SERVIÇOS PRELIMINARES </v>
      </c>
      <c r="C10" s="270"/>
      <c r="D10" s="270"/>
      <c r="E10" s="270"/>
      <c r="F10" s="270"/>
      <c r="G10" s="270"/>
      <c r="H10" s="270"/>
      <c r="I10" s="270"/>
      <c r="J10" s="27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</row>
    <row r="11" spans="1:85" s="1" customFormat="1" ht="15" x14ac:dyDescent="0.25">
      <c r="A11" s="307"/>
      <c r="B11" s="308"/>
      <c r="C11" s="308"/>
      <c r="D11" s="308"/>
      <c r="E11" s="308"/>
      <c r="F11" s="308"/>
      <c r="G11" s="308"/>
      <c r="H11" s="308"/>
      <c r="I11" s="308"/>
      <c r="J11" s="30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s="1" customFormat="1" ht="49.7" customHeight="1" x14ac:dyDescent="0.2">
      <c r="A12" s="121" t="s">
        <v>6</v>
      </c>
      <c r="B12" s="40" t="s">
        <v>16</v>
      </c>
      <c r="C12" s="226" t="str">
        <f>VLOOKUP(A12,ORÇAMENTO!B:K,4,FALSE)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D12" s="227"/>
      <c r="E12" s="227"/>
      <c r="F12" s="227"/>
      <c r="G12" s="227"/>
      <c r="H12" s="41" t="str">
        <f>VLOOKUP(A12,ORÇAMENTO!B:K,2,FALSE)</f>
        <v>SETOP</v>
      </c>
      <c r="I12" s="41" t="str">
        <f>VLOOKUP(A12,ORÇAMENTO!B:K,5,FALSE)</f>
        <v>un</v>
      </c>
      <c r="J12" s="122">
        <f>J16</f>
        <v>1</v>
      </c>
      <c r="K12" s="1" t="s">
        <v>269</v>
      </c>
    </row>
    <row r="13" spans="1:85" s="1" customFormat="1" ht="14.25" customHeight="1" x14ac:dyDescent="0.2">
      <c r="A13" s="248"/>
      <c r="B13" s="249"/>
      <c r="C13" s="283"/>
      <c r="D13" s="249" t="s">
        <v>40</v>
      </c>
      <c r="E13" s="249"/>
      <c r="F13" s="249"/>
      <c r="G13" s="249"/>
      <c r="H13" s="275"/>
      <c r="I13" s="275"/>
      <c r="J13" s="298" t="s">
        <v>42</v>
      </c>
      <c r="K13" s="2"/>
      <c r="L13" s="2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1" customFormat="1" ht="14.25" customHeight="1" x14ac:dyDescent="0.2">
      <c r="A14" s="248"/>
      <c r="B14" s="249"/>
      <c r="C14" s="284"/>
      <c r="D14" s="249"/>
      <c r="E14" s="249"/>
      <c r="F14" s="249"/>
      <c r="G14" s="249"/>
      <c r="H14" s="276"/>
      <c r="I14" s="276"/>
      <c r="J14" s="29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1" customFormat="1" x14ac:dyDescent="0.2">
      <c r="A15" s="281"/>
      <c r="B15" s="282"/>
      <c r="C15" s="6"/>
      <c r="D15" s="7">
        <v>1</v>
      </c>
      <c r="E15" s="7"/>
      <c r="F15" s="7"/>
      <c r="G15" s="7"/>
      <c r="H15" s="3"/>
      <c r="I15" s="3"/>
      <c r="J15" s="123">
        <f>PRODUCT(D15:I15)</f>
        <v>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1" customFormat="1" ht="15" x14ac:dyDescent="0.25">
      <c r="A16" s="245" t="s">
        <v>1</v>
      </c>
      <c r="B16" s="246"/>
      <c r="C16" s="246"/>
      <c r="D16" s="246"/>
      <c r="E16" s="246"/>
      <c r="F16" s="246"/>
      <c r="G16" s="246"/>
      <c r="H16" s="246"/>
      <c r="I16" s="247"/>
      <c r="J16" s="125">
        <f>SUM(J15)</f>
        <v>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1" customFormat="1" ht="15" x14ac:dyDescent="0.25">
      <c r="A17" s="124"/>
      <c r="B17" s="25"/>
      <c r="C17" s="5"/>
      <c r="D17" s="5"/>
      <c r="E17" s="5"/>
      <c r="F17" s="5"/>
      <c r="G17" s="5"/>
      <c r="H17" s="5"/>
      <c r="I17" s="5"/>
      <c r="J17" s="12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1" customFormat="1" ht="20.100000000000001" customHeight="1" x14ac:dyDescent="0.2">
      <c r="A18" s="118">
        <v>2</v>
      </c>
      <c r="B18" s="269" t="str">
        <f>VLOOKUP(A18,ORÇAMENTO!B:K,2,FALSE)</f>
        <v>CASA DE BOMBAS - PEIXE VIVO</v>
      </c>
      <c r="C18" s="270"/>
      <c r="D18" s="270"/>
      <c r="E18" s="270"/>
      <c r="F18" s="270"/>
      <c r="G18" s="270"/>
      <c r="H18" s="270"/>
      <c r="I18" s="270"/>
      <c r="J18" s="27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1" customFormat="1" ht="15" x14ac:dyDescent="0.25">
      <c r="A19" s="127"/>
      <c r="B19" s="8"/>
      <c r="C19" s="11"/>
      <c r="D19" s="11"/>
      <c r="E19" s="11"/>
      <c r="F19" s="11"/>
      <c r="G19" s="11"/>
      <c r="H19" s="11"/>
      <c r="I19" s="11"/>
      <c r="J19" s="12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1" customFormat="1" ht="20.100000000000001" customHeight="1" x14ac:dyDescent="0.2">
      <c r="A20" s="129" t="s">
        <v>185</v>
      </c>
      <c r="B20" s="257" t="str">
        <f>VLOOKUP(A20,ORÇAMENTO!B:K,2,FALSE)</f>
        <v>DEMOLIÇÕES E REMOÇÕES</v>
      </c>
      <c r="C20" s="258"/>
      <c r="D20" s="258"/>
      <c r="E20" s="258"/>
      <c r="F20" s="258"/>
      <c r="G20" s="258"/>
      <c r="H20" s="258"/>
      <c r="I20" s="258"/>
      <c r="J20" s="25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1" customFormat="1" ht="15" x14ac:dyDescent="0.25">
      <c r="A21" s="119"/>
      <c r="B21" s="27"/>
      <c r="C21" s="27"/>
      <c r="D21" s="27"/>
      <c r="E21" s="27"/>
      <c r="F21" s="27"/>
      <c r="G21" s="27"/>
      <c r="H21" s="27"/>
      <c r="I21" s="27"/>
      <c r="J21" s="12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1" customFormat="1" ht="49.7" customHeight="1" x14ac:dyDescent="0.2">
      <c r="A22" s="121" t="s">
        <v>186</v>
      </c>
      <c r="B22" s="40" t="s">
        <v>16</v>
      </c>
      <c r="C22" s="226" t="str">
        <f>VLOOKUP(A22,ORÇAMENTO!B:K,4,FALSE)</f>
        <v>DEMOLIÇÃO MANUAL DE ALVENARIA DE TIJOLO CERÂMICO OU BLOCO DE CONCRETO, INCLUSIVE AFASTAMENTO E EMPILHAMENTO, EXCLUSIVE TRANSPORTE E RETIRADA DO MATERIAL DEMOLIDO</v>
      </c>
      <c r="D22" s="227"/>
      <c r="E22" s="227"/>
      <c r="F22" s="227"/>
      <c r="G22" s="227"/>
      <c r="H22" s="41" t="str">
        <f>VLOOKUP(A22,ORÇAMENTO!B:K,2,FALSE)</f>
        <v>SETOP</v>
      </c>
      <c r="I22" s="41" t="str">
        <f>VLOOKUP(A22,ORÇAMENTO!B:K,5,FALSE)</f>
        <v>m3</v>
      </c>
      <c r="J22" s="122">
        <f>J26</f>
        <v>14.45</v>
      </c>
      <c r="K22" s="1" t="s">
        <v>269</v>
      </c>
    </row>
    <row r="23" spans="1:85" s="1" customFormat="1" ht="14.25" customHeight="1" x14ac:dyDescent="0.2">
      <c r="A23" s="238"/>
      <c r="B23" s="239"/>
      <c r="C23" s="228"/>
      <c r="D23" s="228" t="s">
        <v>43</v>
      </c>
      <c r="E23" s="230" t="s">
        <v>44</v>
      </c>
      <c r="F23" s="232" t="s">
        <v>2</v>
      </c>
      <c r="G23" s="232" t="s">
        <v>0</v>
      </c>
      <c r="H23" s="230"/>
      <c r="I23" s="230"/>
      <c r="J23" s="234" t="s">
        <v>66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1" customFormat="1" ht="14.25" customHeight="1" x14ac:dyDescent="0.2">
      <c r="A24" s="240"/>
      <c r="B24" s="241"/>
      <c r="C24" s="229"/>
      <c r="D24" s="229"/>
      <c r="E24" s="231"/>
      <c r="F24" s="233"/>
      <c r="G24" s="233"/>
      <c r="H24" s="231"/>
      <c r="I24" s="231"/>
      <c r="J24" s="23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1" customFormat="1" ht="15" x14ac:dyDescent="0.2">
      <c r="A25" s="243" t="s">
        <v>268</v>
      </c>
      <c r="B25" s="244"/>
      <c r="C25" s="4" t="s">
        <v>95</v>
      </c>
      <c r="D25" s="4">
        <f>5.73+5.56</f>
        <v>11.29</v>
      </c>
      <c r="E25" s="7">
        <v>6.4</v>
      </c>
      <c r="F25" s="7">
        <v>0.2</v>
      </c>
      <c r="G25" s="7">
        <v>1</v>
      </c>
      <c r="H25" s="23"/>
      <c r="I25" s="23"/>
      <c r="J25" s="123">
        <f>PRODUCT(D25:I25)</f>
        <v>14.4512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1" customFormat="1" ht="15" x14ac:dyDescent="0.25">
      <c r="A26" s="235" t="s">
        <v>1</v>
      </c>
      <c r="B26" s="236"/>
      <c r="C26" s="236"/>
      <c r="D26" s="236"/>
      <c r="E26" s="236"/>
      <c r="F26" s="236"/>
      <c r="G26" s="236"/>
      <c r="H26" s="236"/>
      <c r="I26" s="237"/>
      <c r="J26" s="125">
        <f>ROUND(SUM(J25:J25),2)</f>
        <v>14.45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1" customFormat="1" ht="15" x14ac:dyDescent="0.25">
      <c r="A27" s="124"/>
      <c r="B27" s="25"/>
      <c r="C27" s="8"/>
      <c r="D27" s="8"/>
      <c r="E27" s="8"/>
      <c r="F27" s="8"/>
      <c r="G27" s="8"/>
      <c r="H27" s="5"/>
      <c r="I27" s="5"/>
      <c r="J27" s="12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1" customFormat="1" ht="49.7" customHeight="1" x14ac:dyDescent="0.2">
      <c r="A28" s="121" t="s">
        <v>187</v>
      </c>
      <c r="B28" s="40" t="s">
        <v>16</v>
      </c>
      <c r="C28" s="226" t="str">
        <f>VLOOKUP(A28,ORÇAMENTO!B:K,4,FALSE)</f>
        <v>DEMOLIÇÃO MANUAL DE REBOCO OU EMBOÇO, COM ESPESSURA DE ATÉ 55MM, INCLUSIVE AFASTAMENTO E EMPILHAMENTO, EXCLUSIVE TRANSPORTE E RETIRADA DO MATERIAL DEMOLIDO</v>
      </c>
      <c r="D28" s="227"/>
      <c r="E28" s="227"/>
      <c r="F28" s="227"/>
      <c r="G28" s="227"/>
      <c r="H28" s="41" t="str">
        <f>VLOOKUP(A28,ORÇAMENTO!B:K,2,FALSE)</f>
        <v>SETOP</v>
      </c>
      <c r="I28" s="41" t="str">
        <f>VLOOKUP(A28,ORÇAMENTO!B:K,5,FALSE)</f>
        <v>m2</v>
      </c>
      <c r="J28" s="122">
        <f>J32</f>
        <v>51.6</v>
      </c>
      <c r="K28" s="1" t="s">
        <v>269</v>
      </c>
    </row>
    <row r="29" spans="1:85" s="1" customFormat="1" ht="14.25" customHeight="1" x14ac:dyDescent="0.2">
      <c r="A29" s="238"/>
      <c r="B29" s="263"/>
      <c r="C29" s="232"/>
      <c r="D29" s="228" t="s">
        <v>44</v>
      </c>
      <c r="E29" s="230" t="s">
        <v>43</v>
      </c>
      <c r="F29" s="232" t="s">
        <v>0</v>
      </c>
      <c r="G29" s="232"/>
      <c r="H29" s="242"/>
      <c r="I29" s="230"/>
      <c r="J29" s="234" t="s">
        <v>39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1" customFormat="1" ht="14.25" customHeight="1" x14ac:dyDescent="0.2">
      <c r="A30" s="264"/>
      <c r="B30" s="265"/>
      <c r="C30" s="233"/>
      <c r="D30" s="229"/>
      <c r="E30" s="231"/>
      <c r="F30" s="233"/>
      <c r="G30" s="233"/>
      <c r="H30" s="242"/>
      <c r="I30" s="231"/>
      <c r="J30" s="23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1" customFormat="1" ht="15" x14ac:dyDescent="0.2">
      <c r="A31" s="243" t="s">
        <v>270</v>
      </c>
      <c r="B31" s="244"/>
      <c r="C31" s="4" t="s">
        <v>271</v>
      </c>
      <c r="D31" s="7">
        <f>1.1+0.23+1.25</f>
        <v>2.58</v>
      </c>
      <c r="E31" s="7">
        <v>10</v>
      </c>
      <c r="F31" s="7">
        <v>2</v>
      </c>
      <c r="G31" s="7"/>
      <c r="H31" s="24"/>
      <c r="I31" s="3"/>
      <c r="J31" s="123">
        <f t="shared" ref="J31" si="0">PRODUCT(D31:I31)</f>
        <v>51.6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1" customFormat="1" ht="15" x14ac:dyDescent="0.25">
      <c r="A32" s="245" t="s">
        <v>1</v>
      </c>
      <c r="B32" s="246"/>
      <c r="C32" s="246"/>
      <c r="D32" s="246"/>
      <c r="E32" s="246"/>
      <c r="F32" s="246"/>
      <c r="G32" s="246"/>
      <c r="H32" s="246"/>
      <c r="I32" s="247"/>
      <c r="J32" s="125">
        <f>ROUND(SUM(J31:J31),2)</f>
        <v>51.6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1" customFormat="1" ht="15" x14ac:dyDescent="0.25">
      <c r="A33" s="266"/>
      <c r="B33" s="267"/>
      <c r="C33" s="267"/>
      <c r="D33" s="267"/>
      <c r="E33" s="267"/>
      <c r="F33" s="267"/>
      <c r="G33" s="267"/>
      <c r="H33" s="267"/>
      <c r="I33" s="267"/>
      <c r="J33" s="26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1" customFormat="1" ht="49.7" customHeight="1" x14ac:dyDescent="0.2">
      <c r="A34" s="121" t="s">
        <v>188</v>
      </c>
      <c r="B34" s="40" t="s">
        <v>16</v>
      </c>
      <c r="C34" s="226" t="str">
        <f>VLOOKUP(A34,ORÇAMENTO!B:K,4,FALSE)</f>
        <v>REMOÇÃO DE JANELAS, DE FORMA MANUAL, SEM REAPROVEITAMENTO. AF_09/2023</v>
      </c>
      <c r="D34" s="227"/>
      <c r="E34" s="227"/>
      <c r="F34" s="227"/>
      <c r="G34" s="227"/>
      <c r="H34" s="41" t="str">
        <f>VLOOKUP(A34,ORÇAMENTO!B:K,2,FALSE)</f>
        <v>SINAPI</v>
      </c>
      <c r="I34" s="41" t="str">
        <f>VLOOKUP(A34,ORÇAMENTO!B:K,5,FALSE)</f>
        <v>M2</v>
      </c>
      <c r="J34" s="122">
        <f>J38</f>
        <v>4.8</v>
      </c>
      <c r="K34" s="1" t="s">
        <v>269</v>
      </c>
    </row>
    <row r="35" spans="1:85" s="1" customFormat="1" ht="14.25" customHeight="1" x14ac:dyDescent="0.2">
      <c r="A35" s="238"/>
      <c r="B35" s="239"/>
      <c r="C35" s="228"/>
      <c r="D35" s="228" t="s">
        <v>43</v>
      </c>
      <c r="E35" s="230" t="s">
        <v>44</v>
      </c>
      <c r="F35" s="232" t="s">
        <v>0</v>
      </c>
      <c r="G35" s="232"/>
      <c r="H35" s="230"/>
      <c r="I35" s="230"/>
      <c r="J35" s="234" t="s">
        <v>39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1" customFormat="1" ht="14.25" customHeight="1" x14ac:dyDescent="0.2">
      <c r="A36" s="240"/>
      <c r="B36" s="241"/>
      <c r="C36" s="229"/>
      <c r="D36" s="229"/>
      <c r="E36" s="231"/>
      <c r="F36" s="233"/>
      <c r="G36" s="233"/>
      <c r="H36" s="231"/>
      <c r="I36" s="231"/>
      <c r="J36" s="2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1" customFormat="1" ht="15" x14ac:dyDescent="0.2">
      <c r="A37" s="243" t="s">
        <v>96</v>
      </c>
      <c r="B37" s="244"/>
      <c r="C37" s="9" t="s">
        <v>97</v>
      </c>
      <c r="D37" s="4">
        <v>2</v>
      </c>
      <c r="E37" s="7">
        <v>1.2</v>
      </c>
      <c r="F37" s="7">
        <v>2</v>
      </c>
      <c r="G37" s="7"/>
      <c r="H37" s="23"/>
      <c r="I37" s="23"/>
      <c r="J37" s="123">
        <f>PRODUCT(D37:I37)</f>
        <v>4.8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1" customFormat="1" ht="15" x14ac:dyDescent="0.25">
      <c r="A38" s="235" t="s">
        <v>1</v>
      </c>
      <c r="B38" s="236"/>
      <c r="C38" s="236"/>
      <c r="D38" s="236"/>
      <c r="E38" s="236"/>
      <c r="F38" s="236"/>
      <c r="G38" s="236"/>
      <c r="H38" s="236"/>
      <c r="I38" s="237"/>
      <c r="J38" s="125">
        <f>ROUND(SUM(J37:J37),2)</f>
        <v>4.8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1" customFormat="1" ht="15" x14ac:dyDescent="0.25">
      <c r="A39" s="124"/>
      <c r="B39" s="25"/>
      <c r="C39" s="8"/>
      <c r="D39" s="8"/>
      <c r="E39" s="8"/>
      <c r="F39" s="8"/>
      <c r="G39" s="8"/>
      <c r="H39" s="5"/>
      <c r="I39" s="5"/>
      <c r="J39" s="12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s="1" customFormat="1" ht="49.7" customHeight="1" x14ac:dyDescent="0.2">
      <c r="A40" s="121" t="s">
        <v>189</v>
      </c>
      <c r="B40" s="40" t="s">
        <v>16</v>
      </c>
      <c r="C40" s="226" t="str">
        <f>VLOOKUP(A40,ORÇAMENTO!B:K,4,FALSE)</f>
        <v>REMOÇÃO DE PORTAS, DE FORMA MANUAL, SEM REAPROVEITAMENTO. AF_09/2023</v>
      </c>
      <c r="D40" s="227"/>
      <c r="E40" s="227"/>
      <c r="F40" s="227"/>
      <c r="G40" s="227"/>
      <c r="H40" s="41" t="str">
        <f>VLOOKUP(A40,ORÇAMENTO!B:K,2,FALSE)</f>
        <v>SINAPI</v>
      </c>
      <c r="I40" s="41" t="str">
        <f>VLOOKUP(A40,ORÇAMENTO!B:K,5,FALSE)</f>
        <v>M2</v>
      </c>
      <c r="J40" s="122">
        <f>J44</f>
        <v>2.58</v>
      </c>
      <c r="K40" s="1" t="s">
        <v>269</v>
      </c>
    </row>
    <row r="41" spans="1:85" s="1" customFormat="1" ht="14.25" customHeight="1" x14ac:dyDescent="0.2">
      <c r="A41" s="238"/>
      <c r="B41" s="239"/>
      <c r="C41" s="228"/>
      <c r="D41" s="228" t="s">
        <v>43</v>
      </c>
      <c r="E41" s="230" t="s">
        <v>44</v>
      </c>
      <c r="F41" s="232" t="s">
        <v>0</v>
      </c>
      <c r="G41" s="232"/>
      <c r="H41" s="230"/>
      <c r="I41" s="230"/>
      <c r="J41" s="234" t="s">
        <v>39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s="1" customFormat="1" ht="14.25" customHeight="1" x14ac:dyDescent="0.2">
      <c r="A42" s="240"/>
      <c r="B42" s="241"/>
      <c r="C42" s="229"/>
      <c r="D42" s="229"/>
      <c r="E42" s="231"/>
      <c r="F42" s="233"/>
      <c r="G42" s="233"/>
      <c r="H42" s="231"/>
      <c r="I42" s="231"/>
      <c r="J42" s="23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s="1" customFormat="1" ht="15" x14ac:dyDescent="0.2">
      <c r="A43" s="243" t="s">
        <v>98</v>
      </c>
      <c r="B43" s="244"/>
      <c r="C43" s="9" t="s">
        <v>99</v>
      </c>
      <c r="D43" s="4">
        <v>1.2</v>
      </c>
      <c r="E43" s="7">
        <v>2.15</v>
      </c>
      <c r="F43" s="7">
        <v>1</v>
      </c>
      <c r="G43" s="7"/>
      <c r="H43" s="23"/>
      <c r="I43" s="23"/>
      <c r="J43" s="123">
        <f t="shared" ref="J43" si="1">PRODUCT(D43:I43)</f>
        <v>2.5799999999999996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s="1" customFormat="1" ht="15" x14ac:dyDescent="0.25">
      <c r="A44" s="235" t="s">
        <v>1</v>
      </c>
      <c r="B44" s="236"/>
      <c r="C44" s="236"/>
      <c r="D44" s="236"/>
      <c r="E44" s="236"/>
      <c r="F44" s="236"/>
      <c r="G44" s="236"/>
      <c r="H44" s="236"/>
      <c r="I44" s="237"/>
      <c r="J44" s="125">
        <f>ROUND(SUM(J43:J43),2)</f>
        <v>2.58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s="1" customFormat="1" ht="15" x14ac:dyDescent="0.25">
      <c r="A45" s="124"/>
      <c r="B45" s="25"/>
      <c r="C45" s="25"/>
      <c r="D45" s="25"/>
      <c r="E45" s="25"/>
      <c r="F45" s="25"/>
      <c r="G45" s="25"/>
      <c r="H45" s="5"/>
      <c r="I45" s="5"/>
      <c r="J45" s="12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s="1" customFormat="1" ht="49.7" customHeight="1" x14ac:dyDescent="0.2">
      <c r="A46" s="121" t="s">
        <v>190</v>
      </c>
      <c r="B46" s="40" t="s">
        <v>16</v>
      </c>
      <c r="C46" s="226" t="str">
        <f>VLOOKUP(A46,ORÇAMENTO!B:K,4,FALSE)</f>
        <v>DEMOLIÇÃO DE PISO DE CONCRETO SIMPLES, DE FORMA MANUAL, SEM REAPROVEITAMENTO. AF_09/2023</v>
      </c>
      <c r="D46" s="227"/>
      <c r="E46" s="227"/>
      <c r="F46" s="227"/>
      <c r="G46" s="227"/>
      <c r="H46" s="41" t="str">
        <f>VLOOKUP(A46,ORÇAMENTO!B:K,2,FALSE)</f>
        <v>SINAPI</v>
      </c>
      <c r="I46" s="41" t="str">
        <f>VLOOKUP(A46,ORÇAMENTO!B:K,5,FALSE)</f>
        <v>M3</v>
      </c>
      <c r="J46" s="122">
        <f>J51</f>
        <v>2.08</v>
      </c>
      <c r="K46" s="1" t="s">
        <v>269</v>
      </c>
    </row>
    <row r="47" spans="1:85" s="1" customFormat="1" ht="14.25" customHeight="1" x14ac:dyDescent="0.2">
      <c r="A47" s="238"/>
      <c r="B47" s="239"/>
      <c r="C47" s="228"/>
      <c r="D47" s="228" t="s">
        <v>43</v>
      </c>
      <c r="E47" s="228" t="s">
        <v>272</v>
      </c>
      <c r="F47" s="230" t="s">
        <v>2</v>
      </c>
      <c r="G47" s="90" t="s">
        <v>0</v>
      </c>
      <c r="H47" s="230"/>
      <c r="I47" s="230"/>
      <c r="J47" s="234" t="s">
        <v>273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</row>
    <row r="48" spans="1:85" s="1" customFormat="1" ht="14.25" customHeight="1" x14ac:dyDescent="0.2">
      <c r="A48" s="240"/>
      <c r="B48" s="241"/>
      <c r="C48" s="229"/>
      <c r="D48" s="229"/>
      <c r="E48" s="229"/>
      <c r="F48" s="231"/>
      <c r="G48" s="91"/>
      <c r="H48" s="231"/>
      <c r="I48" s="231"/>
      <c r="J48" s="23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</row>
    <row r="49" spans="1:85" s="1" customFormat="1" ht="15" x14ac:dyDescent="0.2">
      <c r="A49" s="243" t="s">
        <v>119</v>
      </c>
      <c r="B49" s="244"/>
      <c r="C49" s="9"/>
      <c r="D49" s="4">
        <v>0.3</v>
      </c>
      <c r="E49" s="4">
        <v>0.9</v>
      </c>
      <c r="F49" s="7">
        <v>0.08</v>
      </c>
      <c r="G49" s="7">
        <v>10</v>
      </c>
      <c r="H49" s="23"/>
      <c r="I49" s="23"/>
      <c r="J49" s="123">
        <f t="shared" ref="J49" si="2">PRODUCT(D49:I49)</f>
        <v>0.21600000000000003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</row>
    <row r="50" spans="1:85" s="1" customFormat="1" ht="15" x14ac:dyDescent="0.2">
      <c r="A50" s="243" t="s">
        <v>289</v>
      </c>
      <c r="B50" s="244"/>
      <c r="C50" s="9"/>
      <c r="D50" s="4">
        <v>15.54</v>
      </c>
      <c r="E50" s="4">
        <v>1.5</v>
      </c>
      <c r="F50" s="7">
        <v>0.08</v>
      </c>
      <c r="G50" s="7">
        <v>1</v>
      </c>
      <c r="H50" s="23"/>
      <c r="I50" s="23"/>
      <c r="J50" s="123">
        <f t="shared" ref="J50" si="3">PRODUCT(D50:I50)</f>
        <v>1.8648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</row>
    <row r="51" spans="1:85" s="1" customFormat="1" ht="15" x14ac:dyDescent="0.25">
      <c r="A51" s="235" t="s">
        <v>1</v>
      </c>
      <c r="B51" s="236"/>
      <c r="C51" s="236"/>
      <c r="D51" s="236"/>
      <c r="E51" s="236"/>
      <c r="F51" s="236"/>
      <c r="G51" s="236"/>
      <c r="H51" s="236"/>
      <c r="I51" s="237"/>
      <c r="J51" s="125">
        <f>ROUND(SUM(J49:J50),2)</f>
        <v>2.08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</row>
    <row r="52" spans="1:85" s="1" customFormat="1" ht="15" x14ac:dyDescent="0.25">
      <c r="A52" s="124"/>
      <c r="B52" s="25"/>
      <c r="C52" s="8"/>
      <c r="D52" s="8"/>
      <c r="E52" s="8"/>
      <c r="F52" s="8"/>
      <c r="G52" s="8"/>
      <c r="H52" s="5"/>
      <c r="I52" s="5"/>
      <c r="J52" s="12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</row>
    <row r="53" spans="1:85" s="1" customFormat="1" ht="49.7" customHeight="1" x14ac:dyDescent="0.2">
      <c r="A53" s="121" t="s">
        <v>191</v>
      </c>
      <c r="B53" s="40" t="s">
        <v>16</v>
      </c>
      <c r="C53" s="226" t="str">
        <f>VLOOKUP(A53,ORÇAMENTO!B:K,4,FALSE)</f>
        <v>LIXAMENTO MANUAL EM SUPERFÍCIE METÁLICA PARA REMOÇÃO DE TINTA E/OU FUNDO ANTICORROSIVA</v>
      </c>
      <c r="D53" s="227"/>
      <c r="E53" s="227"/>
      <c r="F53" s="227"/>
      <c r="G53" s="227"/>
      <c r="H53" s="41" t="str">
        <f>VLOOKUP(A53,ORÇAMENTO!B:K,2,FALSE)</f>
        <v>SETOP</v>
      </c>
      <c r="I53" s="41" t="str">
        <f>VLOOKUP(A53,ORÇAMENTO!B:K,5,FALSE)</f>
        <v>m2</v>
      </c>
      <c r="J53" s="122">
        <f>J58</f>
        <v>22.96</v>
      </c>
      <c r="K53" s="1" t="s">
        <v>269</v>
      </c>
    </row>
    <row r="54" spans="1:85" s="1" customFormat="1" ht="14.25" customHeight="1" x14ac:dyDescent="0.2">
      <c r="A54" s="238"/>
      <c r="B54" s="239"/>
      <c r="C54" s="228"/>
      <c r="D54" s="228" t="s">
        <v>43</v>
      </c>
      <c r="E54" s="230" t="s">
        <v>44</v>
      </c>
      <c r="F54" s="232" t="s">
        <v>275</v>
      </c>
      <c r="G54" s="232" t="s">
        <v>0</v>
      </c>
      <c r="H54" s="230"/>
      <c r="I54" s="230"/>
      <c r="J54" s="234" t="s">
        <v>39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</row>
    <row r="55" spans="1:85" s="1" customFormat="1" ht="14.25" customHeight="1" x14ac:dyDescent="0.2">
      <c r="A55" s="240"/>
      <c r="B55" s="241"/>
      <c r="C55" s="229"/>
      <c r="D55" s="229"/>
      <c r="E55" s="231"/>
      <c r="F55" s="233"/>
      <c r="G55" s="233"/>
      <c r="H55" s="231"/>
      <c r="I55" s="231"/>
      <c r="J55" s="23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</row>
    <row r="56" spans="1:85" s="1" customFormat="1" ht="15" x14ac:dyDescent="0.2">
      <c r="A56" s="243" t="s">
        <v>274</v>
      </c>
      <c r="B56" s="244"/>
      <c r="C56" s="4" t="s">
        <v>276</v>
      </c>
      <c r="D56" s="4">
        <f>3.08+3.08</f>
        <v>6.16</v>
      </c>
      <c r="E56" s="7">
        <v>4</v>
      </c>
      <c r="F56" s="7">
        <f>0.8*2.1</f>
        <v>1.6800000000000002</v>
      </c>
      <c r="G56" s="7">
        <v>1</v>
      </c>
      <c r="H56" s="23"/>
      <c r="I56" s="23"/>
      <c r="J56" s="123">
        <f>ROUND((D56*E56)-F56,2)</f>
        <v>22.96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</row>
    <row r="57" spans="1:85" s="1" customFormat="1" ht="15" x14ac:dyDescent="0.2">
      <c r="A57" s="243" t="s">
        <v>320</v>
      </c>
      <c r="B57" s="244"/>
      <c r="C57" s="4"/>
      <c r="D57" s="4">
        <v>6.36</v>
      </c>
      <c r="E57" s="7">
        <v>0.12</v>
      </c>
      <c r="F57" s="7">
        <v>0</v>
      </c>
      <c r="G57" s="7">
        <v>3</v>
      </c>
      <c r="H57" s="23"/>
      <c r="I57" s="23"/>
      <c r="J57" s="123">
        <f>ROUND((D57*E57)-F57,2)</f>
        <v>0.76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</row>
    <row r="58" spans="1:85" s="1" customFormat="1" ht="15" x14ac:dyDescent="0.25">
      <c r="A58" s="235" t="s">
        <v>1</v>
      </c>
      <c r="B58" s="236"/>
      <c r="C58" s="236"/>
      <c r="D58" s="236"/>
      <c r="E58" s="236"/>
      <c r="F58" s="236"/>
      <c r="G58" s="236"/>
      <c r="H58" s="236"/>
      <c r="I58" s="237"/>
      <c r="J58" s="125">
        <f>ROUND(SUM(J56:J56),2)</f>
        <v>22.96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</row>
    <row r="59" spans="1:85" s="1" customFormat="1" ht="15" x14ac:dyDescent="0.25">
      <c r="A59" s="124"/>
      <c r="B59" s="25"/>
      <c r="C59" s="8"/>
      <c r="D59" s="8"/>
      <c r="E59" s="8"/>
      <c r="F59" s="8"/>
      <c r="G59" s="8"/>
      <c r="H59" s="5"/>
      <c r="I59" s="5"/>
      <c r="J59" s="12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1:85" s="1" customFormat="1" ht="49.7" customHeight="1" x14ac:dyDescent="0.2">
      <c r="A60" s="121" t="s">
        <v>192</v>
      </c>
      <c r="B60" s="40" t="s">
        <v>16</v>
      </c>
      <c r="C60" s="226" t="str">
        <f>VLOOKUP(A60,ORÇAMENTO!B:K,4,FALSE)</f>
        <v>LIXAMENTO MANUAL EM PAREDE PARA REMOÇÃO DE TINTA</v>
      </c>
      <c r="D60" s="227"/>
      <c r="E60" s="227"/>
      <c r="F60" s="227"/>
      <c r="G60" s="227"/>
      <c r="H60" s="41" t="str">
        <f>VLOOKUP(A60,ORÇAMENTO!B:K,2,FALSE)</f>
        <v>SETOP</v>
      </c>
      <c r="I60" s="41" t="str">
        <f>VLOOKUP(A60,ORÇAMENTO!B:K,5,FALSE)</f>
        <v>m2</v>
      </c>
      <c r="J60" s="122">
        <f>J76</f>
        <v>350.68</v>
      </c>
      <c r="K60" s="1" t="s">
        <v>269</v>
      </c>
    </row>
    <row r="61" spans="1:85" s="1" customFormat="1" ht="14.25" customHeight="1" x14ac:dyDescent="0.2">
      <c r="A61" s="238"/>
      <c r="B61" s="239"/>
      <c r="C61" s="228"/>
      <c r="D61" s="228" t="s">
        <v>43</v>
      </c>
      <c r="E61" s="230" t="s">
        <v>44</v>
      </c>
      <c r="F61" s="230" t="s">
        <v>3</v>
      </c>
      <c r="G61" s="232" t="s">
        <v>275</v>
      </c>
      <c r="H61" s="230"/>
      <c r="I61" s="230"/>
      <c r="J61" s="234" t="s">
        <v>39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</row>
    <row r="62" spans="1:85" s="1" customFormat="1" ht="14.25" customHeight="1" x14ac:dyDescent="0.2">
      <c r="A62" s="240"/>
      <c r="B62" s="241"/>
      <c r="C62" s="229"/>
      <c r="D62" s="229"/>
      <c r="E62" s="231"/>
      <c r="F62" s="231"/>
      <c r="G62" s="233"/>
      <c r="H62" s="231"/>
      <c r="I62" s="231"/>
      <c r="J62" s="23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</row>
    <row r="63" spans="1:85" s="1" customFormat="1" ht="15" x14ac:dyDescent="0.2">
      <c r="A63" s="243" t="s">
        <v>277</v>
      </c>
      <c r="B63" s="244"/>
      <c r="C63" s="4"/>
      <c r="D63" s="4">
        <f>6.36+6.36</f>
        <v>12.72</v>
      </c>
      <c r="E63" s="7">
        <v>6.4</v>
      </c>
      <c r="F63" s="7">
        <f>D63*E63</f>
        <v>81.408000000000015</v>
      </c>
      <c r="G63" s="7">
        <f>(3.08*2)*4</f>
        <v>24.64</v>
      </c>
      <c r="H63" s="23"/>
      <c r="I63" s="23"/>
      <c r="J63" s="123">
        <f>ROUND(F63-G63,2)</f>
        <v>56.77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</row>
    <row r="64" spans="1:85" s="1" customFormat="1" ht="15" x14ac:dyDescent="0.2">
      <c r="A64" s="243" t="s">
        <v>282</v>
      </c>
      <c r="B64" s="244"/>
      <c r="C64" s="4"/>
      <c r="D64" s="4">
        <v>6.36</v>
      </c>
      <c r="E64" s="7">
        <v>5.08</v>
      </c>
      <c r="F64" s="7">
        <f t="shared" ref="F64:F74" si="4">D64*E64</f>
        <v>32.308800000000005</v>
      </c>
      <c r="G64" s="7">
        <f>1.2*2.15</f>
        <v>2.5799999999999996</v>
      </c>
      <c r="H64" s="23"/>
      <c r="I64" s="23"/>
      <c r="J64" s="123">
        <f t="shared" ref="J64:J75" si="5">ROUND(F64-G64,2)</f>
        <v>29.73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</row>
    <row r="65" spans="1:85" s="1" customFormat="1" ht="15" x14ac:dyDescent="0.2">
      <c r="A65" s="243" t="s">
        <v>283</v>
      </c>
      <c r="B65" s="244"/>
      <c r="C65" s="4"/>
      <c r="D65" s="4">
        <v>5.73</v>
      </c>
      <c r="E65" s="7">
        <v>4.4859999999999998</v>
      </c>
      <c r="F65" s="7">
        <f t="shared" si="4"/>
        <v>25.70478</v>
      </c>
      <c r="G65" s="7">
        <f>1.2*2</f>
        <v>2.4</v>
      </c>
      <c r="H65" s="23"/>
      <c r="I65" s="23"/>
      <c r="J65" s="123">
        <f t="shared" si="5"/>
        <v>23.3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</row>
    <row r="66" spans="1:85" s="1" customFormat="1" ht="15" x14ac:dyDescent="0.2">
      <c r="A66" s="243" t="s">
        <v>283</v>
      </c>
      <c r="B66" s="244"/>
      <c r="C66" s="4"/>
      <c r="D66" s="4"/>
      <c r="E66" s="7"/>
      <c r="F66" s="7">
        <f>(5.73*0.59)/2</f>
        <v>1.69035</v>
      </c>
      <c r="G66" s="7">
        <v>0</v>
      </c>
      <c r="H66" s="23"/>
      <c r="I66" s="23"/>
      <c r="J66" s="123">
        <f t="shared" si="5"/>
        <v>1.69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</row>
    <row r="67" spans="1:85" s="1" customFormat="1" ht="15" x14ac:dyDescent="0.2">
      <c r="A67" s="243" t="s">
        <v>285</v>
      </c>
      <c r="B67" s="244"/>
      <c r="C67" s="4"/>
      <c r="D67" s="4">
        <v>6.36</v>
      </c>
      <c r="E67" s="7">
        <v>4.4859999999999998</v>
      </c>
      <c r="F67" s="7">
        <f t="shared" ref="F67:F68" si="6">D67*E67</f>
        <v>28.53096</v>
      </c>
      <c r="G67" s="7">
        <v>0</v>
      </c>
      <c r="H67" s="23"/>
      <c r="I67" s="23"/>
      <c r="J67" s="123">
        <f t="shared" si="5"/>
        <v>28.53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</row>
    <row r="68" spans="1:85" s="1" customFormat="1" ht="15" x14ac:dyDescent="0.2">
      <c r="A68" s="243" t="s">
        <v>284</v>
      </c>
      <c r="B68" s="244"/>
      <c r="C68" s="4"/>
      <c r="D68" s="4">
        <v>5.56</v>
      </c>
      <c r="E68" s="7">
        <v>4.4859999999999998</v>
      </c>
      <c r="F68" s="7">
        <f t="shared" si="6"/>
        <v>24.942159999999998</v>
      </c>
      <c r="G68" s="7">
        <f>2*1.2</f>
        <v>2.4</v>
      </c>
      <c r="H68" s="23"/>
      <c r="I68" s="23"/>
      <c r="J68" s="123">
        <f t="shared" si="5"/>
        <v>22.54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</row>
    <row r="69" spans="1:85" s="1" customFormat="1" ht="15" x14ac:dyDescent="0.2">
      <c r="A69" s="243" t="s">
        <v>284</v>
      </c>
      <c r="B69" s="244"/>
      <c r="C69" s="4"/>
      <c r="D69" s="4"/>
      <c r="E69" s="7"/>
      <c r="F69" s="7">
        <f>(5.56*0.59)/2</f>
        <v>1.6401999999999999</v>
      </c>
      <c r="G69" s="7">
        <v>0</v>
      </c>
      <c r="H69" s="23"/>
      <c r="I69" s="23"/>
      <c r="J69" s="123">
        <f t="shared" si="5"/>
        <v>1.64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</row>
    <row r="70" spans="1:85" s="1" customFormat="1" ht="15" x14ac:dyDescent="0.2">
      <c r="A70" s="243" t="s">
        <v>278</v>
      </c>
      <c r="B70" s="244"/>
      <c r="C70" s="4"/>
      <c r="D70" s="4">
        <v>6.76</v>
      </c>
      <c r="E70" s="7">
        <v>11.68</v>
      </c>
      <c r="F70" s="7">
        <f t="shared" si="4"/>
        <v>78.956800000000001</v>
      </c>
      <c r="G70" s="7">
        <f>(1.2*2.15)+((1.1+2.05+1.1)*0.15)</f>
        <v>3.2174999999999994</v>
      </c>
      <c r="H70" s="23"/>
      <c r="I70" s="23"/>
      <c r="J70" s="123">
        <f t="shared" si="5"/>
        <v>75.739999999999995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</row>
    <row r="71" spans="1:85" s="1" customFormat="1" ht="15" x14ac:dyDescent="0.2">
      <c r="A71" s="243" t="s">
        <v>279</v>
      </c>
      <c r="B71" s="244"/>
      <c r="C71" s="4"/>
      <c r="D71" s="4">
        <v>6.13</v>
      </c>
      <c r="E71" s="7">
        <v>11.086</v>
      </c>
      <c r="F71" s="7">
        <f t="shared" si="4"/>
        <v>67.957179999999994</v>
      </c>
      <c r="G71" s="7">
        <f>(2*1.2)+(5.73*6.4)</f>
        <v>39.072000000000003</v>
      </c>
      <c r="H71" s="23"/>
      <c r="I71" s="23"/>
      <c r="J71" s="123">
        <f t="shared" si="5"/>
        <v>28.89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</row>
    <row r="72" spans="1:85" s="1" customFormat="1" ht="15" x14ac:dyDescent="0.2">
      <c r="A72" s="243" t="s">
        <v>279</v>
      </c>
      <c r="B72" s="244"/>
      <c r="C72" s="4"/>
      <c r="D72" s="4"/>
      <c r="E72" s="7"/>
      <c r="F72" s="7">
        <f>(6.13*0.59)/2</f>
        <v>1.8083499999999999</v>
      </c>
      <c r="G72" s="7">
        <v>0</v>
      </c>
      <c r="H72" s="23"/>
      <c r="I72" s="23"/>
      <c r="J72" s="123">
        <f t="shared" si="5"/>
        <v>1.81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</row>
    <row r="73" spans="1:85" s="1" customFormat="1" ht="15" x14ac:dyDescent="0.2">
      <c r="A73" s="243" t="s">
        <v>280</v>
      </c>
      <c r="B73" s="244"/>
      <c r="C73" s="4"/>
      <c r="D73" s="4">
        <v>6.76</v>
      </c>
      <c r="E73" s="7">
        <v>11.086</v>
      </c>
      <c r="F73" s="7">
        <f t="shared" si="4"/>
        <v>74.941360000000003</v>
      </c>
      <c r="G73" s="7">
        <f>((3.08+3.08)*4)</f>
        <v>24.64</v>
      </c>
      <c r="H73" s="23"/>
      <c r="I73" s="23"/>
      <c r="J73" s="123">
        <f t="shared" si="5"/>
        <v>50.3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</row>
    <row r="74" spans="1:85" s="1" customFormat="1" ht="15" x14ac:dyDescent="0.2">
      <c r="A74" s="243" t="s">
        <v>281</v>
      </c>
      <c r="B74" s="244"/>
      <c r="C74" s="4"/>
      <c r="D74" s="4">
        <v>5.95</v>
      </c>
      <c r="E74" s="7">
        <v>11.086</v>
      </c>
      <c r="F74" s="7">
        <f t="shared" si="4"/>
        <v>65.961700000000008</v>
      </c>
      <c r="G74" s="7">
        <f>(2*1.2)+(5.56*6.4)</f>
        <v>37.983999999999995</v>
      </c>
      <c r="H74" s="23"/>
      <c r="I74" s="23"/>
      <c r="J74" s="123">
        <f t="shared" si="5"/>
        <v>27.98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</row>
    <row r="75" spans="1:85" s="1" customFormat="1" ht="15" x14ac:dyDescent="0.2">
      <c r="A75" s="243" t="s">
        <v>281</v>
      </c>
      <c r="B75" s="244"/>
      <c r="C75" s="4"/>
      <c r="D75" s="4"/>
      <c r="E75" s="7"/>
      <c r="F75" s="7">
        <f>(5.95*0.59)/2</f>
        <v>1.75525</v>
      </c>
      <c r="G75" s="7">
        <v>0</v>
      </c>
      <c r="H75" s="23"/>
      <c r="I75" s="23"/>
      <c r="J75" s="123">
        <f t="shared" si="5"/>
        <v>1.76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</row>
    <row r="76" spans="1:85" s="1" customFormat="1" ht="15" x14ac:dyDescent="0.25">
      <c r="A76" s="235" t="s">
        <v>1</v>
      </c>
      <c r="B76" s="236"/>
      <c r="C76" s="236"/>
      <c r="D76" s="236"/>
      <c r="E76" s="236"/>
      <c r="F76" s="236"/>
      <c r="G76" s="236"/>
      <c r="H76" s="236"/>
      <c r="I76" s="237"/>
      <c r="J76" s="125">
        <f>ROUND(SUM(J63:J75),2)</f>
        <v>350.68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</row>
    <row r="77" spans="1:85" s="1" customFormat="1" ht="15" x14ac:dyDescent="0.25">
      <c r="A77" s="124"/>
      <c r="B77" s="25"/>
      <c r="C77" s="8"/>
      <c r="D77" s="8"/>
      <c r="E77" s="8"/>
      <c r="F77" s="8"/>
      <c r="G77" s="8"/>
      <c r="H77" s="5"/>
      <c r="I77" s="5"/>
      <c r="J77" s="126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</row>
    <row r="78" spans="1:85" s="1" customFormat="1" ht="49.7" customHeight="1" x14ac:dyDescent="0.2">
      <c r="A78" s="121" t="s">
        <v>193</v>
      </c>
      <c r="B78" s="40" t="s">
        <v>16</v>
      </c>
      <c r="C78" s="226" t="str">
        <f>VLOOKUP(A78,ORÇAMENTO!B:K,4,FALSE)</f>
        <v>LIXAMENTO MANUAL EM TETO PARA REMOÇÃO DE TINTA</v>
      </c>
      <c r="D78" s="227"/>
      <c r="E78" s="227"/>
      <c r="F78" s="227"/>
      <c r="G78" s="227"/>
      <c r="H78" s="41" t="str">
        <f>VLOOKUP(A78,ORÇAMENTO!B:K,2,FALSE)</f>
        <v>SETOP</v>
      </c>
      <c r="I78" s="41" t="str">
        <f>VLOOKUP(A78,ORÇAMENTO!B:K,5,FALSE)</f>
        <v>m2</v>
      </c>
      <c r="J78" s="122">
        <f>J82</f>
        <v>35.9</v>
      </c>
      <c r="K78" s="1" t="s">
        <v>269</v>
      </c>
    </row>
    <row r="79" spans="1:85" s="1" customFormat="1" ht="14.25" customHeight="1" x14ac:dyDescent="0.2">
      <c r="A79" s="238"/>
      <c r="B79" s="239"/>
      <c r="C79" s="228"/>
      <c r="D79" s="228" t="s">
        <v>3</v>
      </c>
      <c r="E79" s="232" t="s">
        <v>0</v>
      </c>
      <c r="F79" s="232"/>
      <c r="G79" s="232"/>
      <c r="H79" s="230"/>
      <c r="I79" s="230"/>
      <c r="J79" s="234" t="s">
        <v>39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</row>
    <row r="80" spans="1:85" s="1" customFormat="1" ht="14.25" customHeight="1" x14ac:dyDescent="0.2">
      <c r="A80" s="240"/>
      <c r="B80" s="241"/>
      <c r="C80" s="229"/>
      <c r="D80" s="229"/>
      <c r="E80" s="233"/>
      <c r="F80" s="233"/>
      <c r="G80" s="233"/>
      <c r="H80" s="231"/>
      <c r="I80" s="231"/>
      <c r="J80" s="23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</row>
    <row r="81" spans="1:85" s="1" customFormat="1" ht="15" x14ac:dyDescent="0.2">
      <c r="A81" s="243" t="s">
        <v>286</v>
      </c>
      <c r="B81" s="244"/>
      <c r="C81" s="9"/>
      <c r="D81" s="4">
        <v>35.9</v>
      </c>
      <c r="E81" s="7">
        <v>1</v>
      </c>
      <c r="F81" s="7"/>
      <c r="G81" s="7"/>
      <c r="H81" s="23"/>
      <c r="I81" s="23"/>
      <c r="J81" s="123">
        <f t="shared" ref="J81" si="7">PRODUCT(D81:I81)</f>
        <v>35.9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</row>
    <row r="82" spans="1:85" s="1" customFormat="1" ht="15" x14ac:dyDescent="0.25">
      <c r="A82" s="235" t="s">
        <v>1</v>
      </c>
      <c r="B82" s="236"/>
      <c r="C82" s="236"/>
      <c r="D82" s="236"/>
      <c r="E82" s="236"/>
      <c r="F82" s="236"/>
      <c r="G82" s="236"/>
      <c r="H82" s="236"/>
      <c r="I82" s="237"/>
      <c r="J82" s="125">
        <f>ROUND(SUM(J81:J81),2)</f>
        <v>35.9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</row>
    <row r="83" spans="1:85" s="1" customFormat="1" ht="15" x14ac:dyDescent="0.25">
      <c r="A83" s="124"/>
      <c r="B83" s="25"/>
      <c r="C83" s="8"/>
      <c r="D83" s="8"/>
      <c r="E83" s="8"/>
      <c r="F83" s="8"/>
      <c r="G83" s="8"/>
      <c r="H83" s="5"/>
      <c r="I83" s="5"/>
      <c r="J83" s="126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</row>
    <row r="84" spans="1:85" s="1" customFormat="1" ht="49.7" customHeight="1" x14ac:dyDescent="0.2">
      <c r="A84" s="121" t="s">
        <v>194</v>
      </c>
      <c r="B84" s="40" t="s">
        <v>16</v>
      </c>
      <c r="C84" s="226" t="str">
        <f>VLOOKUP(A84,ORÇAMENTO!B:K,4,FALSE)</f>
        <v>REMOÇÃO DE TELHAS DE FIBROCIMENTO METÁLICA E CERÂMICA, DE FORMA MANUAL, SEM REAPROVEITAMENTO. AF_09/2023</v>
      </c>
      <c r="D84" s="227"/>
      <c r="E84" s="227"/>
      <c r="F84" s="227"/>
      <c r="G84" s="227"/>
      <c r="H84" s="41" t="str">
        <f>VLOOKUP(A84,ORÇAMENTO!B:K,2,FALSE)</f>
        <v>SINAPI</v>
      </c>
      <c r="I84" s="41" t="str">
        <f>VLOOKUP(A84,ORÇAMENTO!B:K,5,FALSE)</f>
        <v>M2</v>
      </c>
      <c r="J84" s="122">
        <f>J88</f>
        <v>54.67</v>
      </c>
      <c r="K84" s="1" t="s">
        <v>269</v>
      </c>
    </row>
    <row r="85" spans="1:85" s="1" customFormat="1" ht="14.25" customHeight="1" x14ac:dyDescent="0.2">
      <c r="A85" s="238"/>
      <c r="B85" s="239"/>
      <c r="C85" s="228"/>
      <c r="D85" s="228" t="s">
        <v>3</v>
      </c>
      <c r="E85" s="232" t="s">
        <v>0</v>
      </c>
      <c r="F85" s="232"/>
      <c r="G85" s="232"/>
      <c r="H85" s="230"/>
      <c r="I85" s="230"/>
      <c r="J85" s="234" t="s">
        <v>39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</row>
    <row r="86" spans="1:85" s="1" customFormat="1" ht="14.25" customHeight="1" x14ac:dyDescent="0.2">
      <c r="A86" s="240"/>
      <c r="B86" s="241"/>
      <c r="C86" s="229"/>
      <c r="D86" s="229"/>
      <c r="E86" s="233"/>
      <c r="F86" s="233"/>
      <c r="G86" s="233"/>
      <c r="H86" s="231"/>
      <c r="I86" s="231"/>
      <c r="J86" s="23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</row>
    <row r="87" spans="1:85" s="1" customFormat="1" ht="15" x14ac:dyDescent="0.2">
      <c r="A87" s="243" t="s">
        <v>287</v>
      </c>
      <c r="B87" s="244"/>
      <c r="C87" s="9"/>
      <c r="D87" s="4">
        <v>54.67</v>
      </c>
      <c r="E87" s="7">
        <v>1</v>
      </c>
      <c r="F87" s="7"/>
      <c r="G87" s="7"/>
      <c r="H87" s="23"/>
      <c r="I87" s="23"/>
      <c r="J87" s="123">
        <f t="shared" ref="J87" si="8">PRODUCT(D87:I87)</f>
        <v>54.67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</row>
    <row r="88" spans="1:85" s="1" customFormat="1" ht="15" x14ac:dyDescent="0.25">
      <c r="A88" s="235" t="s">
        <v>1</v>
      </c>
      <c r="B88" s="236"/>
      <c r="C88" s="236"/>
      <c r="D88" s="236"/>
      <c r="E88" s="236"/>
      <c r="F88" s="236"/>
      <c r="G88" s="236"/>
      <c r="H88" s="236"/>
      <c r="I88" s="237"/>
      <c r="J88" s="125">
        <f>ROUND(SUM(J87:J87),2)</f>
        <v>54.67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</row>
    <row r="89" spans="1:85" s="1" customFormat="1" ht="15" x14ac:dyDescent="0.25">
      <c r="A89" s="124"/>
      <c r="B89" s="25"/>
      <c r="C89" s="8"/>
      <c r="D89" s="8"/>
      <c r="E89" s="8"/>
      <c r="F89" s="8"/>
      <c r="G89" s="8"/>
      <c r="H89" s="5"/>
      <c r="I89" s="5"/>
      <c r="J89" s="12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</row>
    <row r="90" spans="1:85" s="1" customFormat="1" ht="49.7" customHeight="1" x14ac:dyDescent="0.2">
      <c r="A90" s="121" t="s">
        <v>195</v>
      </c>
      <c r="B90" s="40" t="s">
        <v>16</v>
      </c>
      <c r="C90" s="226" t="str">
        <f>VLOOKUP(A90,ORÇAMENTO!B:K,4,FALSE)</f>
        <v>ESCAVAÇÃO MANUAL DE TERRA (DESATERRO MANUAL), INCLUSIVE DESCARGA LATERAL, EXCLUSIVE RETIRADA E TRANSPORTE DO MATERIAL ESCAVADO</v>
      </c>
      <c r="D90" s="227"/>
      <c r="E90" s="227"/>
      <c r="F90" s="227"/>
      <c r="G90" s="227"/>
      <c r="H90" s="41" t="str">
        <f>VLOOKUP(A90,ORÇAMENTO!B:K,2,FALSE)</f>
        <v>SETOP</v>
      </c>
      <c r="I90" s="41" t="str">
        <f>VLOOKUP(A90,ORÇAMENTO!B:K,5,FALSE)</f>
        <v>m3</v>
      </c>
      <c r="J90" s="122">
        <f>J94</f>
        <v>3.5</v>
      </c>
      <c r="K90" s="1" t="s">
        <v>269</v>
      </c>
    </row>
    <row r="91" spans="1:85" s="1" customFormat="1" x14ac:dyDescent="0.2">
      <c r="A91" s="238"/>
      <c r="B91" s="239"/>
      <c r="C91" s="228"/>
      <c r="D91" s="228" t="s">
        <v>43</v>
      </c>
      <c r="E91" s="230" t="s">
        <v>272</v>
      </c>
      <c r="F91" s="232" t="s">
        <v>2</v>
      </c>
      <c r="G91" s="232"/>
      <c r="H91" s="230"/>
      <c r="I91" s="230"/>
      <c r="J91" s="234" t="s">
        <v>273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</row>
    <row r="92" spans="1:85" s="1" customFormat="1" x14ac:dyDescent="0.2">
      <c r="A92" s="240"/>
      <c r="B92" s="241"/>
      <c r="C92" s="229"/>
      <c r="D92" s="229"/>
      <c r="E92" s="231"/>
      <c r="F92" s="233"/>
      <c r="G92" s="233"/>
      <c r="H92" s="231"/>
      <c r="I92" s="231"/>
      <c r="J92" s="23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</row>
    <row r="93" spans="1:85" s="1" customFormat="1" ht="15" x14ac:dyDescent="0.2">
      <c r="A93" s="243" t="s">
        <v>288</v>
      </c>
      <c r="B93" s="244"/>
      <c r="C93" s="9"/>
      <c r="D93" s="4">
        <v>15.54</v>
      </c>
      <c r="E93" s="7">
        <v>1.5</v>
      </c>
      <c r="F93" s="7">
        <v>0.15</v>
      </c>
      <c r="G93" s="7"/>
      <c r="H93" s="23"/>
      <c r="I93" s="23"/>
      <c r="J93" s="123">
        <f t="shared" ref="J93" si="9">PRODUCT(D93:I93)</f>
        <v>3.4964999999999997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</row>
    <row r="94" spans="1:85" s="1" customFormat="1" ht="15" x14ac:dyDescent="0.25">
      <c r="A94" s="235" t="s">
        <v>1</v>
      </c>
      <c r="B94" s="236"/>
      <c r="C94" s="236"/>
      <c r="D94" s="236"/>
      <c r="E94" s="236"/>
      <c r="F94" s="236"/>
      <c r="G94" s="236"/>
      <c r="H94" s="236"/>
      <c r="I94" s="237"/>
      <c r="J94" s="125">
        <f>ROUND(SUM(J93:J93),2)</f>
        <v>3.5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</row>
    <row r="95" spans="1:85" s="1" customFormat="1" ht="15" x14ac:dyDescent="0.25">
      <c r="A95" s="124"/>
      <c r="B95" s="25"/>
      <c r="C95" s="8"/>
      <c r="D95" s="8"/>
      <c r="E95" s="8"/>
      <c r="F95" s="8"/>
      <c r="G95" s="8"/>
      <c r="H95" s="5"/>
      <c r="I95" s="5"/>
      <c r="J95" s="12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</row>
    <row r="96" spans="1:85" s="1" customFormat="1" ht="49.7" customHeight="1" x14ac:dyDescent="0.2">
      <c r="A96" s="121" t="s">
        <v>436</v>
      </c>
      <c r="B96" s="40" t="s">
        <v>16</v>
      </c>
      <c r="C96" s="226" t="str">
        <f>VLOOKUP(A96,ORÇAMENTO!B:K,4,FALSE)</f>
        <v>CARGA, MANOBRA E DESCARGA DE ENTULHO EM CAMINHÃO BASCULANTE 10 M³ - CARGA COM ESCAVADEIRA HIDRÁULICA (CAÇAMBA DE 0,80 M³ / 111 HP) E DESCARGA LIVRE (UNIDADE: M3). AF_07/2020</v>
      </c>
      <c r="D96" s="227"/>
      <c r="E96" s="227"/>
      <c r="F96" s="227"/>
      <c r="G96" s="227"/>
      <c r="H96" s="41" t="str">
        <f>VLOOKUP(A96,ORÇAMENTO!B:K,2,FALSE)</f>
        <v>SINAPI</v>
      </c>
      <c r="I96" s="41" t="str">
        <f>VLOOKUP(A96,ORÇAMENTO!B:K,5,FALSE)</f>
        <v>M3</v>
      </c>
      <c r="J96" s="122">
        <f>J106</f>
        <v>23.81</v>
      </c>
    </row>
    <row r="97" spans="1:85" s="1" customFormat="1" ht="14.45" customHeight="1" x14ac:dyDescent="0.2">
      <c r="A97" s="319" t="s">
        <v>12</v>
      </c>
      <c r="B97" s="320"/>
      <c r="C97" s="321"/>
      <c r="D97" s="228" t="s">
        <v>449</v>
      </c>
      <c r="E97" s="230" t="s">
        <v>450</v>
      </c>
      <c r="F97" s="230" t="s">
        <v>453</v>
      </c>
      <c r="G97" s="232" t="s">
        <v>451</v>
      </c>
      <c r="H97" s="232" t="s">
        <v>452</v>
      </c>
      <c r="I97" s="230"/>
      <c r="J97" s="234" t="s">
        <v>273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</row>
    <row r="98" spans="1:85" s="1" customFormat="1" x14ac:dyDescent="0.2">
      <c r="A98" s="322"/>
      <c r="B98" s="323"/>
      <c r="C98" s="324"/>
      <c r="D98" s="229"/>
      <c r="E98" s="231"/>
      <c r="F98" s="231" t="s">
        <v>453</v>
      </c>
      <c r="G98" s="233"/>
      <c r="H98" s="233"/>
      <c r="I98" s="231"/>
      <c r="J98" s="23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</row>
    <row r="99" spans="1:85" s="1" customFormat="1" ht="49.9" customHeight="1" x14ac:dyDescent="0.2">
      <c r="A99" s="316" t="str">
        <f>C22</f>
        <v>DEMOLIÇÃO MANUAL DE ALVENARIA DE TIJOLO CERÂMICO OU BLOCO DE CONCRETO, INCLUSIVE AFASTAMENTO E EMPILHAMENTO, EXCLUSIVE TRANSPORTE E RETIRADA DO MATERIAL DEMOLIDO</v>
      </c>
      <c r="B99" s="317"/>
      <c r="C99" s="318"/>
      <c r="D99" s="4"/>
      <c r="E99" s="7"/>
      <c r="F99" s="7"/>
      <c r="G99" s="7"/>
      <c r="H99" s="116">
        <f>J25</f>
        <v>14.4512</v>
      </c>
      <c r="I99" s="23"/>
      <c r="J99" s="123">
        <f>H99</f>
        <v>14.4512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</row>
    <row r="100" spans="1:85" s="1" customFormat="1" ht="43.15" customHeight="1" x14ac:dyDescent="0.2">
      <c r="A100" s="316" t="str">
        <f>C28</f>
        <v>DEMOLIÇÃO MANUAL DE REBOCO OU EMBOÇO, COM ESPESSURA DE ATÉ 55MM, INCLUSIVE AFASTAMENTO E EMPILHAMENTO, EXCLUSIVE TRANSPORTE E RETIRADA DO MATERIAL DEMOLIDO</v>
      </c>
      <c r="B100" s="317"/>
      <c r="C100" s="318"/>
      <c r="D100" s="4"/>
      <c r="E100" s="7"/>
      <c r="F100" s="7">
        <f>J31</f>
        <v>51.6</v>
      </c>
      <c r="G100" s="7">
        <v>0.02</v>
      </c>
      <c r="H100" s="23">
        <f>ROUND(F100*G100,2)</f>
        <v>1.03</v>
      </c>
      <c r="I100" s="23"/>
      <c r="J100" s="123">
        <f t="shared" ref="J100:J105" si="10">H100</f>
        <v>1.03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1:85" s="1" customFormat="1" ht="27" customHeight="1" x14ac:dyDescent="0.2">
      <c r="A101" s="316" t="str">
        <f>C34</f>
        <v>REMOÇÃO DE JANELAS, DE FORMA MANUAL, SEM REAPROVEITAMENTO. AF_09/2023</v>
      </c>
      <c r="B101" s="317"/>
      <c r="C101" s="318"/>
      <c r="D101" s="4"/>
      <c r="E101" s="7"/>
      <c r="F101" s="7">
        <f>J38</f>
        <v>4.8</v>
      </c>
      <c r="G101" s="7">
        <v>0.15</v>
      </c>
      <c r="H101" s="23">
        <f t="shared" ref="H101:H104" si="11">ROUND(F101*G101,2)</f>
        <v>0.72</v>
      </c>
      <c r="I101" s="23"/>
      <c r="J101" s="123">
        <f t="shared" si="10"/>
        <v>0.72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1:85" s="1" customFormat="1" ht="30.6" customHeight="1" x14ac:dyDescent="0.2">
      <c r="A102" s="316" t="str">
        <f>C40</f>
        <v>REMOÇÃO DE PORTAS, DE FORMA MANUAL, SEM REAPROVEITAMENTO. AF_09/2023</v>
      </c>
      <c r="B102" s="317"/>
      <c r="C102" s="318"/>
      <c r="D102" s="4"/>
      <c r="E102" s="7"/>
      <c r="F102" s="7">
        <f>J44</f>
        <v>2.58</v>
      </c>
      <c r="G102" s="7">
        <v>0.15</v>
      </c>
      <c r="H102" s="23">
        <f t="shared" si="11"/>
        <v>0.39</v>
      </c>
      <c r="I102" s="23"/>
      <c r="J102" s="123">
        <f t="shared" si="10"/>
        <v>0.39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1:85" s="1" customFormat="1" ht="36" customHeight="1" x14ac:dyDescent="0.2">
      <c r="A103" s="316" t="str">
        <f>C46</f>
        <v>DEMOLIÇÃO DE PISO DE CONCRETO SIMPLES, DE FORMA MANUAL, SEM REAPROVEITAMENTO. AF_09/2023</v>
      </c>
      <c r="B103" s="317"/>
      <c r="C103" s="318"/>
      <c r="D103" s="4"/>
      <c r="E103" s="7"/>
      <c r="F103" s="7"/>
      <c r="G103" s="7"/>
      <c r="H103" s="116">
        <f>J51</f>
        <v>2.08</v>
      </c>
      <c r="I103" s="23"/>
      <c r="J103" s="123">
        <f t="shared" si="10"/>
        <v>2.08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1:85" s="1" customFormat="1" ht="37.15" customHeight="1" x14ac:dyDescent="0.2">
      <c r="A104" s="316" t="str">
        <f>C84</f>
        <v>REMOÇÃO DE TELHAS DE FIBROCIMENTO METÁLICA E CERÂMICA, DE FORMA MANUAL, SEM REAPROVEITAMENTO. AF_09/2023</v>
      </c>
      <c r="B104" s="317"/>
      <c r="C104" s="318"/>
      <c r="D104" s="4"/>
      <c r="E104" s="7"/>
      <c r="F104" s="7">
        <f>J87</f>
        <v>54.67</v>
      </c>
      <c r="G104" s="7">
        <v>0.03</v>
      </c>
      <c r="H104" s="23">
        <f t="shared" si="11"/>
        <v>1.64</v>
      </c>
      <c r="I104" s="23"/>
      <c r="J104" s="123">
        <f t="shared" si="10"/>
        <v>1.64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1:85" s="1" customFormat="1" ht="42.6" customHeight="1" x14ac:dyDescent="0.2">
      <c r="A105" s="316" t="str">
        <f>C90</f>
        <v>ESCAVAÇÃO MANUAL DE TERRA (DESATERRO MANUAL), INCLUSIVE DESCARGA LATERAL, EXCLUSIVE RETIRADA E TRANSPORTE DO MATERIAL ESCAVADO</v>
      </c>
      <c r="B105" s="317"/>
      <c r="C105" s="318"/>
      <c r="D105" s="4"/>
      <c r="E105" s="7"/>
      <c r="F105" s="7"/>
      <c r="G105" s="7"/>
      <c r="H105" s="116">
        <f>J93</f>
        <v>3.4964999999999997</v>
      </c>
      <c r="I105" s="23"/>
      <c r="J105" s="123">
        <f t="shared" si="10"/>
        <v>3.4964999999999997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1:85" s="1" customFormat="1" ht="15" x14ac:dyDescent="0.25">
      <c r="A106" s="235" t="s">
        <v>1</v>
      </c>
      <c r="B106" s="236"/>
      <c r="C106" s="236"/>
      <c r="D106" s="236"/>
      <c r="E106" s="236"/>
      <c r="F106" s="236"/>
      <c r="G106" s="236"/>
      <c r="H106" s="236"/>
      <c r="I106" s="237"/>
      <c r="J106" s="125">
        <f>ROUND(SUM(J99:J105),2)</f>
        <v>23.81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1:85" s="1" customFormat="1" ht="15" x14ac:dyDescent="0.25">
      <c r="A107" s="124"/>
      <c r="B107" s="25"/>
      <c r="C107" s="8"/>
      <c r="D107" s="8"/>
      <c r="E107" s="8"/>
      <c r="F107" s="8"/>
      <c r="G107" s="8"/>
      <c r="H107" s="5"/>
      <c r="I107" s="5"/>
      <c r="J107" s="126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1:85" s="1" customFormat="1" ht="49.7" customHeight="1" x14ac:dyDescent="0.2">
      <c r="A108" s="121" t="s">
        <v>437</v>
      </c>
      <c r="B108" s="40" t="s">
        <v>16</v>
      </c>
      <c r="C108" s="226" t="str">
        <f>VLOOKUP(A108,ORÇAMENTO!B:K,4,FALSE)</f>
        <v>TRANSPORTE DE MATERIAL DE QUALQUER NATUREZA EM CAMINHÃO, DISTÂNCIA MAIOR QUE 2KM E MENOR OU IGUAL A 5KM, DENTRO DO PERÍMETRO URBANO, EXCLUSIVE CARGA, INCLUSIVE DESCARGA</v>
      </c>
      <c r="D108" s="227"/>
      <c r="E108" s="227"/>
      <c r="F108" s="227"/>
      <c r="G108" s="227"/>
      <c r="H108" s="41" t="str">
        <f>VLOOKUP(A108,ORÇAMENTO!B:K,2,FALSE)</f>
        <v>SETOP</v>
      </c>
      <c r="I108" s="41" t="str">
        <f>VLOOKUP(A108,ORÇAMENTO!B:K,5,FALSE)</f>
        <v>M3xKM</v>
      </c>
      <c r="J108" s="122">
        <f>J112</f>
        <v>3.6</v>
      </c>
    </row>
    <row r="109" spans="1:85" s="1" customFormat="1" x14ac:dyDescent="0.2">
      <c r="A109" s="238"/>
      <c r="B109" s="239"/>
      <c r="C109" s="228"/>
      <c r="D109" s="242" t="s">
        <v>273</v>
      </c>
      <c r="E109" s="230" t="s">
        <v>447</v>
      </c>
      <c r="F109" s="232"/>
      <c r="G109" s="232"/>
      <c r="H109" s="230"/>
      <c r="I109" s="230"/>
      <c r="J109" s="234" t="s">
        <v>448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1:85" s="1" customFormat="1" x14ac:dyDescent="0.2">
      <c r="A110" s="240"/>
      <c r="B110" s="241"/>
      <c r="C110" s="229"/>
      <c r="D110" s="242"/>
      <c r="E110" s="231"/>
      <c r="F110" s="233"/>
      <c r="G110" s="233"/>
      <c r="H110" s="231"/>
      <c r="I110" s="231"/>
      <c r="J110" s="23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1:85" s="1" customFormat="1" ht="15" x14ac:dyDescent="0.2">
      <c r="A111" s="243"/>
      <c r="B111" s="244"/>
      <c r="C111" s="9"/>
      <c r="D111" s="4">
        <f>J101</f>
        <v>0.72</v>
      </c>
      <c r="E111" s="7">
        <v>5</v>
      </c>
      <c r="F111" s="7"/>
      <c r="G111" s="7"/>
      <c r="H111" s="23"/>
      <c r="I111" s="23"/>
      <c r="J111" s="123">
        <f t="shared" ref="J111" si="12">PRODUCT(D111:I111)</f>
        <v>3.5999999999999996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1:85" s="1" customFormat="1" ht="15" x14ac:dyDescent="0.25">
      <c r="A112" s="235" t="s">
        <v>1</v>
      </c>
      <c r="B112" s="236"/>
      <c r="C112" s="236"/>
      <c r="D112" s="236"/>
      <c r="E112" s="236"/>
      <c r="F112" s="236"/>
      <c r="G112" s="236"/>
      <c r="H112" s="236"/>
      <c r="I112" s="237"/>
      <c r="J112" s="125">
        <f>ROUND(SUM(J111:J111),2)</f>
        <v>3.6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1:85" s="1" customFormat="1" ht="15" x14ac:dyDescent="0.25">
      <c r="A113" s="124"/>
      <c r="B113" s="25"/>
      <c r="C113" s="8"/>
      <c r="D113" s="8"/>
      <c r="E113" s="8"/>
      <c r="F113" s="8"/>
      <c r="G113" s="8"/>
      <c r="H113" s="5"/>
      <c r="I113" s="5"/>
      <c r="J113" s="126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1:85" s="1" customFormat="1" ht="20.100000000000001" customHeight="1" x14ac:dyDescent="0.2">
      <c r="A114" s="129" t="s">
        <v>196</v>
      </c>
      <c r="B114" s="257" t="str">
        <f>VLOOKUP(A114,ORÇAMENTO!B:K,2,FALSE)</f>
        <v xml:space="preserve">ALVENARIA E REVESTIMENTOS </v>
      </c>
      <c r="C114" s="258"/>
      <c r="D114" s="258"/>
      <c r="E114" s="258"/>
      <c r="F114" s="258"/>
      <c r="G114" s="258"/>
      <c r="H114" s="258"/>
      <c r="I114" s="258"/>
      <c r="J114" s="25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1:85" s="1" customFormat="1" ht="15" x14ac:dyDescent="0.25">
      <c r="A115" s="266"/>
      <c r="B115" s="267"/>
      <c r="C115" s="267"/>
      <c r="D115" s="267"/>
      <c r="E115" s="267"/>
      <c r="F115" s="267"/>
      <c r="G115" s="267"/>
      <c r="H115" s="267"/>
      <c r="I115" s="267"/>
      <c r="J115" s="26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1:85" s="1" customFormat="1" ht="49.7" customHeight="1" x14ac:dyDescent="0.2">
      <c r="A116" s="121" t="s">
        <v>197</v>
      </c>
      <c r="B116" s="40" t="s">
        <v>16</v>
      </c>
      <c r="C116" s="226" t="str">
        <f>VLOOKUP(A116,ORÇAMENTO!B:K,4,FALSE)</f>
        <v>ALVENARIA DE BLOCOS DE CONCRETO ESTRUTURAL 14X19X29 CM (ESPESSURA 14 CM), FBK = 14 MPA, UTILIZANDO COLHER DE PEDREIRO. AF_10/2022</v>
      </c>
      <c r="D116" s="227"/>
      <c r="E116" s="227"/>
      <c r="F116" s="227"/>
      <c r="G116" s="227"/>
      <c r="H116" s="41" t="str">
        <f>VLOOKUP(A116,ORÇAMENTO!B:K,2,FALSE)</f>
        <v>SINAPI</v>
      </c>
      <c r="I116" s="41" t="str">
        <f>VLOOKUP(A116,ORÇAMENTO!B:K,5,FALSE)</f>
        <v>M2</v>
      </c>
      <c r="J116" s="122">
        <f>J120</f>
        <v>72.260000000000005</v>
      </c>
      <c r="K116" s="1" t="s">
        <v>269</v>
      </c>
    </row>
    <row r="117" spans="1:85" s="1" customFormat="1" ht="14.25" customHeight="1" x14ac:dyDescent="0.2">
      <c r="A117" s="238"/>
      <c r="B117" s="239"/>
      <c r="C117" s="228"/>
      <c r="D117" s="228" t="s">
        <v>43</v>
      </c>
      <c r="E117" s="230" t="s">
        <v>44</v>
      </c>
      <c r="F117" s="232" t="s">
        <v>0</v>
      </c>
      <c r="G117" s="232"/>
      <c r="H117" s="230"/>
      <c r="I117" s="230"/>
      <c r="J117" s="234" t="s">
        <v>39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1:85" s="1" customFormat="1" ht="14.25" customHeight="1" x14ac:dyDescent="0.2">
      <c r="A118" s="240"/>
      <c r="B118" s="241"/>
      <c r="C118" s="229"/>
      <c r="D118" s="229"/>
      <c r="E118" s="231"/>
      <c r="F118" s="233"/>
      <c r="G118" s="233"/>
      <c r="H118" s="231"/>
      <c r="I118" s="231"/>
      <c r="J118" s="23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1:85" s="1" customFormat="1" x14ac:dyDescent="0.2">
      <c r="A119" s="243" t="s">
        <v>290</v>
      </c>
      <c r="B119" s="244"/>
      <c r="C119" s="4" t="s">
        <v>95</v>
      </c>
      <c r="D119" s="4">
        <f>5.73+5.56</f>
        <v>11.29</v>
      </c>
      <c r="E119" s="7">
        <v>6.4</v>
      </c>
      <c r="F119" s="7">
        <v>1</v>
      </c>
      <c r="G119" s="7"/>
      <c r="H119" s="3"/>
      <c r="I119" s="3"/>
      <c r="J119" s="123">
        <f>PRODUCT(D119:I119)</f>
        <v>72.256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1:85" s="1" customFormat="1" ht="15" x14ac:dyDescent="0.25">
      <c r="A120" s="245" t="s">
        <v>1</v>
      </c>
      <c r="B120" s="246"/>
      <c r="C120" s="246"/>
      <c r="D120" s="246"/>
      <c r="E120" s="246"/>
      <c r="F120" s="246"/>
      <c r="G120" s="246"/>
      <c r="H120" s="246"/>
      <c r="I120" s="247"/>
      <c r="J120" s="125">
        <f>ROUND(SUM(J119:J119),2)</f>
        <v>72.260000000000005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1:85" s="1" customFormat="1" ht="15" x14ac:dyDescent="0.25">
      <c r="A121" s="132"/>
      <c r="B121" s="10"/>
      <c r="C121" s="10"/>
      <c r="D121" s="10"/>
      <c r="E121" s="10"/>
      <c r="F121" s="10"/>
      <c r="G121" s="10"/>
      <c r="H121" s="10"/>
      <c r="I121" s="10"/>
      <c r="J121" s="133"/>
      <c r="K121" s="2"/>
      <c r="L121" s="272"/>
      <c r="M121" s="27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1:85" s="1" customFormat="1" ht="49.7" customHeight="1" x14ac:dyDescent="0.25">
      <c r="A122" s="121" t="s">
        <v>198</v>
      </c>
      <c r="B122" s="40" t="s">
        <v>16</v>
      </c>
      <c r="C122" s="226" t="str">
        <f>VLOOKUP(A122,ORÇAMENTO!B:K,4,FALSE)</f>
        <v>CHAPISCO APLICADO EM ALVENARIA (COM PRESENÇA DE VÃOS) E ESTRUTURAS DE CONCRETO DE FACHADA, COM COLHER DE PEDREIRO. ARGAMASSA TRAÇO 1:3 COM PREPARO EM BETONEIRA 400L. AF_10/2022</v>
      </c>
      <c r="D122" s="227"/>
      <c r="E122" s="227"/>
      <c r="F122" s="227"/>
      <c r="G122" s="227"/>
      <c r="H122" s="41" t="str">
        <f>VLOOKUP(A122,ORÇAMENTO!B:K,2,FALSE)</f>
        <v>SINAPI</v>
      </c>
      <c r="I122" s="41" t="str">
        <f>VLOOKUP(A122,ORÇAMENTO!B:K,5,FALSE)</f>
        <v>M2</v>
      </c>
      <c r="J122" s="122">
        <f>J127</f>
        <v>205.04</v>
      </c>
      <c r="K122" s="1" t="s">
        <v>269</v>
      </c>
      <c r="L122" s="61"/>
      <c r="M122" s="61"/>
    </row>
    <row r="123" spans="1:85" s="1" customFormat="1" ht="14.25" customHeight="1" x14ac:dyDescent="0.2">
      <c r="A123" s="248"/>
      <c r="B123" s="249"/>
      <c r="C123" s="228"/>
      <c r="D123" s="228" t="s">
        <v>43</v>
      </c>
      <c r="E123" s="230" t="s">
        <v>44</v>
      </c>
      <c r="F123" s="232" t="s">
        <v>0</v>
      </c>
      <c r="G123" s="230"/>
      <c r="H123" s="230"/>
      <c r="I123" s="230"/>
      <c r="J123" s="234" t="s">
        <v>39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1:85" s="1" customFormat="1" ht="14.25" customHeight="1" x14ac:dyDescent="0.2">
      <c r="A124" s="248"/>
      <c r="B124" s="249"/>
      <c r="C124" s="229"/>
      <c r="D124" s="229"/>
      <c r="E124" s="231"/>
      <c r="F124" s="233"/>
      <c r="G124" s="231"/>
      <c r="H124" s="231"/>
      <c r="I124" s="231"/>
      <c r="J124" s="234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1:85" s="1" customFormat="1" x14ac:dyDescent="0.2">
      <c r="A125" s="243" t="s">
        <v>290</v>
      </c>
      <c r="B125" s="244"/>
      <c r="C125" s="4" t="s">
        <v>291</v>
      </c>
      <c r="D125" s="4">
        <f>5.73+0.305+6.13+5.56+0.3+5.95</f>
        <v>23.974999999999998</v>
      </c>
      <c r="E125" s="7">
        <v>6.4</v>
      </c>
      <c r="F125" s="7">
        <v>1</v>
      </c>
      <c r="G125" s="3"/>
      <c r="H125" s="3"/>
      <c r="I125" s="3"/>
      <c r="J125" s="123">
        <f>PRODUCT(D125:I125)</f>
        <v>153.44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1:85" s="1" customFormat="1" x14ac:dyDescent="0.2">
      <c r="A126" s="243" t="s">
        <v>292</v>
      </c>
      <c r="B126" s="244"/>
      <c r="C126" s="4" t="s">
        <v>271</v>
      </c>
      <c r="D126" s="7">
        <f>1.1+0.23+1.25</f>
        <v>2.58</v>
      </c>
      <c r="E126" s="7">
        <v>10</v>
      </c>
      <c r="F126" s="7">
        <v>2</v>
      </c>
      <c r="G126" s="3"/>
      <c r="H126" s="3"/>
      <c r="I126" s="3"/>
      <c r="J126" s="123">
        <f>PRODUCT(D126:I126)</f>
        <v>51.6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1:85" s="1" customFormat="1" ht="15" x14ac:dyDescent="0.25">
      <c r="A127" s="245" t="s">
        <v>1</v>
      </c>
      <c r="B127" s="246"/>
      <c r="C127" s="246"/>
      <c r="D127" s="246"/>
      <c r="E127" s="246"/>
      <c r="F127" s="246"/>
      <c r="G127" s="246"/>
      <c r="H127" s="246"/>
      <c r="I127" s="247"/>
      <c r="J127" s="125">
        <f>ROUND(SUM(J125:J126),2)</f>
        <v>205.04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1:85" s="1" customFormat="1" ht="15" x14ac:dyDescent="0.25">
      <c r="A128" s="132"/>
      <c r="B128" s="10"/>
      <c r="C128" s="10"/>
      <c r="D128" s="10"/>
      <c r="E128" s="10"/>
      <c r="F128" s="10"/>
      <c r="G128" s="10"/>
      <c r="H128" s="10"/>
      <c r="I128" s="10"/>
      <c r="J128" s="13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1:85" s="1" customFormat="1" ht="49.7" customHeight="1" x14ac:dyDescent="0.2">
      <c r="A129" s="121" t="s">
        <v>199</v>
      </c>
      <c r="B129" s="40" t="s">
        <v>16</v>
      </c>
      <c r="C129" s="226" t="str">
        <f>VLOOKUP(A129,ORÇAMENTO!B:K,4,FALSE)</f>
        <v>REBOCO COM ARGAMASSA, TRAÇO 1:2:8 (CIMENTO, CAL E AREIA), ESP. 20MM, APLICAÇÃO MANUAL, INCLUSIVE ARGAMASSA COM PREPARO MECANIZADO, EXCLUSIVE CHAPISCO</v>
      </c>
      <c r="D129" s="227"/>
      <c r="E129" s="227"/>
      <c r="F129" s="227"/>
      <c r="G129" s="227"/>
      <c r="H129" s="41" t="str">
        <f>VLOOKUP(A129,ORÇAMENTO!B:K,2,FALSE)</f>
        <v>SETOP</v>
      </c>
      <c r="I129" s="41" t="str">
        <f>VLOOKUP(A129,ORÇAMENTO!B:K,5,FALSE)</f>
        <v>m2</v>
      </c>
      <c r="J129" s="122">
        <f>J133</f>
        <v>51.6</v>
      </c>
      <c r="K129" s="1" t="s">
        <v>269</v>
      </c>
    </row>
    <row r="130" spans="1:85" s="1" customFormat="1" ht="14.25" customHeight="1" x14ac:dyDescent="0.2">
      <c r="A130" s="248"/>
      <c r="B130" s="249"/>
      <c r="C130" s="228"/>
      <c r="D130" s="228" t="s">
        <v>43</v>
      </c>
      <c r="E130" s="230" t="s">
        <v>44</v>
      </c>
      <c r="F130" s="232" t="s">
        <v>0</v>
      </c>
      <c r="G130" s="230"/>
      <c r="H130" s="230"/>
      <c r="I130" s="230"/>
      <c r="J130" s="234" t="s">
        <v>39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1:85" s="1" customFormat="1" ht="14.25" customHeight="1" x14ac:dyDescent="0.2">
      <c r="A131" s="248"/>
      <c r="B131" s="249"/>
      <c r="C131" s="229"/>
      <c r="D131" s="229"/>
      <c r="E131" s="231"/>
      <c r="F131" s="233"/>
      <c r="G131" s="231"/>
      <c r="H131" s="231"/>
      <c r="I131" s="231"/>
      <c r="J131" s="234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1:85" s="1" customFormat="1" x14ac:dyDescent="0.2">
      <c r="A132" s="243" t="s">
        <v>292</v>
      </c>
      <c r="B132" s="244"/>
      <c r="C132" s="4" t="s">
        <v>271</v>
      </c>
      <c r="D132" s="7">
        <f>1.1+0.23+1.25</f>
        <v>2.58</v>
      </c>
      <c r="E132" s="7">
        <v>10</v>
      </c>
      <c r="F132" s="7">
        <v>2</v>
      </c>
      <c r="G132" s="3"/>
      <c r="H132" s="3"/>
      <c r="I132" s="3"/>
      <c r="J132" s="123">
        <f>PRODUCT(D132:I132)</f>
        <v>51.6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1:85" s="1" customFormat="1" ht="15" x14ac:dyDescent="0.25">
      <c r="A133" s="245" t="s">
        <v>1</v>
      </c>
      <c r="B133" s="246"/>
      <c r="C133" s="246"/>
      <c r="D133" s="246"/>
      <c r="E133" s="246"/>
      <c r="F133" s="246"/>
      <c r="G133" s="246"/>
      <c r="H133" s="246"/>
      <c r="I133" s="247"/>
      <c r="J133" s="125">
        <f>ROUND(SUM(J132:J132),2)</f>
        <v>51.6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1:85" s="1" customFormat="1" ht="15" x14ac:dyDescent="0.25">
      <c r="A134" s="132"/>
      <c r="B134" s="10"/>
      <c r="C134" s="10"/>
      <c r="D134" s="10"/>
      <c r="E134" s="10"/>
      <c r="F134" s="10"/>
      <c r="G134" s="10"/>
      <c r="H134" s="10"/>
      <c r="I134" s="10"/>
      <c r="J134" s="13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1:85" s="1" customFormat="1" ht="49.7" customHeight="1" x14ac:dyDescent="0.2">
      <c r="A135" s="121" t="s">
        <v>200</v>
      </c>
      <c r="B135" s="40" t="s">
        <v>16</v>
      </c>
      <c r="C135" s="226" t="str">
        <f>VLOOKUP(A135,ORÇAMENTO!B:K,4,FALSE)</f>
        <v>REBOCO COM ARGAMASSA, TRAÇO 1:2:9 (CIMENTO, CAL E AREIA), COM ADITIVO IMPERMEABILIZANTE, ESP. 20MM, APLICAÇÃO MANUAL, INCLUSIVE ARGAMASSA COM PREPARO MECANIZADO, EXCLUSIVE CHAPISCO</v>
      </c>
      <c r="D135" s="227"/>
      <c r="E135" s="227"/>
      <c r="F135" s="227"/>
      <c r="G135" s="227"/>
      <c r="H135" s="41" t="str">
        <f>VLOOKUP(A135,ORÇAMENTO!B:K,2,FALSE)</f>
        <v>SETOP</v>
      </c>
      <c r="I135" s="41" t="str">
        <f>VLOOKUP(A135,ORÇAMENTO!B:K,5,FALSE)</f>
        <v>M2</v>
      </c>
      <c r="J135" s="122">
        <f>J139</f>
        <v>153.44</v>
      </c>
      <c r="K135" s="1" t="s">
        <v>269</v>
      </c>
    </row>
    <row r="136" spans="1:85" s="1" customFormat="1" ht="14.25" customHeight="1" x14ac:dyDescent="0.2">
      <c r="A136" s="248"/>
      <c r="B136" s="249"/>
      <c r="C136" s="232"/>
      <c r="D136" s="228" t="s">
        <v>44</v>
      </c>
      <c r="E136" s="230" t="s">
        <v>43</v>
      </c>
      <c r="F136" s="232" t="s">
        <v>0</v>
      </c>
      <c r="G136" s="230"/>
      <c r="H136" s="230"/>
      <c r="I136" s="230"/>
      <c r="J136" s="234" t="s">
        <v>39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1:85" s="1" customFormat="1" ht="14.25" customHeight="1" x14ac:dyDescent="0.2">
      <c r="A137" s="248"/>
      <c r="B137" s="249"/>
      <c r="C137" s="233"/>
      <c r="D137" s="229"/>
      <c r="E137" s="231"/>
      <c r="F137" s="233"/>
      <c r="G137" s="231"/>
      <c r="H137" s="231"/>
      <c r="I137" s="231"/>
      <c r="J137" s="234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1:85" s="1" customFormat="1" x14ac:dyDescent="0.2">
      <c r="A138" s="243" t="s">
        <v>290</v>
      </c>
      <c r="B138" s="244"/>
      <c r="C138" s="4" t="s">
        <v>291</v>
      </c>
      <c r="D138" s="4">
        <f>5.73+0.305+6.13+5.56+0.3+5.95</f>
        <v>23.974999999999998</v>
      </c>
      <c r="E138" s="7">
        <v>6.4</v>
      </c>
      <c r="F138" s="7">
        <v>1</v>
      </c>
      <c r="G138" s="114"/>
      <c r="H138" s="114"/>
      <c r="I138" s="115"/>
      <c r="J138" s="123">
        <f>PRODUCT(D138:I138)</f>
        <v>153.44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1:85" s="1" customFormat="1" ht="15" x14ac:dyDescent="0.25">
      <c r="A139" s="245" t="s">
        <v>1</v>
      </c>
      <c r="B139" s="246"/>
      <c r="C139" s="246"/>
      <c r="D139" s="246"/>
      <c r="E139" s="246"/>
      <c r="F139" s="246"/>
      <c r="G139" s="246"/>
      <c r="H139" s="246"/>
      <c r="I139" s="247"/>
      <c r="J139" s="125">
        <f>ROUND(SUM(J138),2)</f>
        <v>153.44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1:85" s="1" customFormat="1" x14ac:dyDescent="0.2">
      <c r="A140" s="260"/>
      <c r="B140" s="261"/>
      <c r="C140" s="261"/>
      <c r="D140" s="261"/>
      <c r="E140" s="261"/>
      <c r="F140" s="261"/>
      <c r="G140" s="261"/>
      <c r="H140" s="261"/>
      <c r="I140" s="261"/>
      <c r="J140" s="26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1:85" s="1" customFormat="1" ht="49.7" customHeight="1" x14ac:dyDescent="0.2">
      <c r="A141" s="121" t="s">
        <v>338</v>
      </c>
      <c r="B141" s="40" t="s">
        <v>16</v>
      </c>
      <c r="C141" s="226" t="str">
        <f>VLOOKUP(A141,ORÇAMENTO!B:K,4,FALSE)</f>
        <v>EXECUÇÃO DE PASSEIO (CALÇADA) OU PISO DE CONCRETO COM CONCRETO MOLDADO IN LOCO, FEITO EM OBRA, ACABAMENTO CONVENCIONAL, NÃO ARMADO. AF_08/2022</v>
      </c>
      <c r="D141" s="227"/>
      <c r="E141" s="227"/>
      <c r="F141" s="227"/>
      <c r="G141" s="227"/>
      <c r="H141" s="41" t="str">
        <f>VLOOKUP(A141,ORÇAMENTO!B:K,2,FALSE)</f>
        <v>SINAPI</v>
      </c>
      <c r="I141" s="41" t="str">
        <f>VLOOKUP(A141,ORÇAMENTO!B:K,5,FALSE)</f>
        <v>M3</v>
      </c>
      <c r="J141" s="122">
        <f>J145</f>
        <v>0.14000000000000001</v>
      </c>
      <c r="K141" s="1" t="s">
        <v>420</v>
      </c>
    </row>
    <row r="142" spans="1:85" s="1" customFormat="1" ht="14.25" customHeight="1" x14ac:dyDescent="0.2">
      <c r="A142" s="248"/>
      <c r="B142" s="249"/>
      <c r="C142" s="232"/>
      <c r="D142" s="232" t="s">
        <v>43</v>
      </c>
      <c r="E142" s="232" t="s">
        <v>272</v>
      </c>
      <c r="F142" s="232" t="s">
        <v>2</v>
      </c>
      <c r="G142" s="232" t="s">
        <v>0</v>
      </c>
      <c r="H142" s="230"/>
      <c r="I142" s="230"/>
      <c r="J142" s="234" t="s">
        <v>273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1:85" s="1" customFormat="1" ht="14.25" customHeight="1" x14ac:dyDescent="0.2">
      <c r="A143" s="248"/>
      <c r="B143" s="249"/>
      <c r="C143" s="233"/>
      <c r="D143" s="233"/>
      <c r="E143" s="233"/>
      <c r="F143" s="233"/>
      <c r="G143" s="233"/>
      <c r="H143" s="231"/>
      <c r="I143" s="231"/>
      <c r="J143" s="23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1:85" s="1" customFormat="1" x14ac:dyDescent="0.2">
      <c r="A144" s="243" t="s">
        <v>419</v>
      </c>
      <c r="B144" s="244"/>
      <c r="C144" s="4"/>
      <c r="D144" s="7">
        <v>0.9</v>
      </c>
      <c r="E144" s="7">
        <v>0.3</v>
      </c>
      <c r="F144" s="7">
        <v>0.05</v>
      </c>
      <c r="G144" s="7">
        <v>10</v>
      </c>
      <c r="H144" s="3"/>
      <c r="I144" s="3"/>
      <c r="J144" s="123">
        <f>PRODUCT(D144:I144)</f>
        <v>0.13500000000000001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1:85" s="1" customFormat="1" ht="15" x14ac:dyDescent="0.25">
      <c r="A145" s="245" t="s">
        <v>1</v>
      </c>
      <c r="B145" s="246"/>
      <c r="C145" s="246"/>
      <c r="D145" s="246"/>
      <c r="E145" s="246"/>
      <c r="F145" s="246"/>
      <c r="G145" s="246"/>
      <c r="H145" s="246"/>
      <c r="I145" s="247"/>
      <c r="J145" s="125">
        <f>ROUND(SUM(J144:J144),2)</f>
        <v>0.14000000000000001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1:85" s="1" customFormat="1" x14ac:dyDescent="0.2">
      <c r="A146" s="134"/>
      <c r="B146" s="92"/>
      <c r="C146" s="92"/>
      <c r="D146" s="92"/>
      <c r="E146" s="92"/>
      <c r="F146" s="92"/>
      <c r="G146" s="92"/>
      <c r="H146" s="92"/>
      <c r="I146" s="92"/>
      <c r="J146" s="13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1:85" s="1" customFormat="1" ht="20.100000000000001" customHeight="1" x14ac:dyDescent="0.2">
      <c r="A147" s="129" t="s">
        <v>201</v>
      </c>
      <c r="B147" s="257" t="str">
        <f>VLOOKUP(A147,ORÇAMENTO!B:K,2,FALSE)</f>
        <v xml:space="preserve">ESQUADRIAS </v>
      </c>
      <c r="C147" s="258"/>
      <c r="D147" s="258"/>
      <c r="E147" s="258"/>
      <c r="F147" s="258"/>
      <c r="G147" s="258"/>
      <c r="H147" s="258"/>
      <c r="I147" s="258"/>
      <c r="J147" s="25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1:85" s="1" customFormat="1" ht="15" x14ac:dyDescent="0.25">
      <c r="A148" s="130"/>
      <c r="B148" s="26"/>
      <c r="C148" s="12"/>
      <c r="D148" s="12"/>
      <c r="E148" s="12"/>
      <c r="F148" s="12"/>
      <c r="G148" s="12"/>
      <c r="H148" s="26"/>
      <c r="I148" s="26"/>
      <c r="J148" s="13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1:85" s="1" customFormat="1" ht="49.7" customHeight="1" x14ac:dyDescent="0.2">
      <c r="A149" s="121" t="s">
        <v>202</v>
      </c>
      <c r="B149" s="40" t="s">
        <v>16</v>
      </c>
      <c r="C149" s="226" t="str">
        <f>VLOOKUP(A149,ORÇAMENTO!B:K,4,FALSE)</f>
        <v>PORTA METÁLICA, TIPO DE ABRIR, COM UMA (1) FOLHA, EM CHAPA GALVANIZADA LAMBRIL, MODELO QUADRADO, INCLUSIVE PINTURA ANTICORROSIVA A BASE DE ÓXIDO DE FERRO (ZARCÃO), UMA (1) DEMÃO, FORNECIMENTO E ASSENTAMENTO, EXCLUSIVE FECHADURA E DOBRADIÇA</v>
      </c>
      <c r="D149" s="227"/>
      <c r="E149" s="227"/>
      <c r="F149" s="227"/>
      <c r="G149" s="227"/>
      <c r="H149" s="41" t="str">
        <f>VLOOKUP(A149,ORÇAMENTO!B:K,2,FALSE)</f>
        <v>SETOP</v>
      </c>
      <c r="I149" s="41" t="str">
        <f>VLOOKUP(A149,ORÇAMENTO!B:K,5,FALSE)</f>
        <v>m2</v>
      </c>
      <c r="J149" s="122">
        <f>J153</f>
        <v>2.58</v>
      </c>
      <c r="K149" s="1" t="s">
        <v>269</v>
      </c>
    </row>
    <row r="150" spans="1:85" s="1" customFormat="1" ht="14.25" customHeight="1" x14ac:dyDescent="0.2">
      <c r="A150" s="248"/>
      <c r="B150" s="249"/>
      <c r="C150" s="242"/>
      <c r="D150" s="228" t="s">
        <v>43</v>
      </c>
      <c r="E150" s="230" t="s">
        <v>44</v>
      </c>
      <c r="F150" s="232" t="s">
        <v>0</v>
      </c>
      <c r="G150" s="230"/>
      <c r="H150" s="230"/>
      <c r="I150" s="230"/>
      <c r="J150" s="234" t="s">
        <v>39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1:85" s="1" customFormat="1" ht="14.25" customHeight="1" x14ac:dyDescent="0.2">
      <c r="A151" s="248"/>
      <c r="B151" s="249"/>
      <c r="C151" s="242"/>
      <c r="D151" s="229"/>
      <c r="E151" s="231"/>
      <c r="F151" s="233"/>
      <c r="G151" s="231"/>
      <c r="H151" s="231"/>
      <c r="I151" s="231"/>
      <c r="J151" s="23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1:85" s="1" customFormat="1" ht="15" x14ac:dyDescent="0.2">
      <c r="A152" s="243" t="s">
        <v>102</v>
      </c>
      <c r="B152" s="244"/>
      <c r="C152" s="9" t="s">
        <v>99</v>
      </c>
      <c r="D152" s="4">
        <v>1.2</v>
      </c>
      <c r="E152" s="4">
        <v>2.15</v>
      </c>
      <c r="F152" s="7">
        <v>1</v>
      </c>
      <c r="G152" s="3"/>
      <c r="H152" s="3"/>
      <c r="I152" s="3"/>
      <c r="J152" s="123">
        <f>PRODUCT(D152:I152)</f>
        <v>2.5799999999999996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1:85" s="1" customFormat="1" ht="15" x14ac:dyDescent="0.25">
      <c r="A153" s="245" t="s">
        <v>1</v>
      </c>
      <c r="B153" s="246"/>
      <c r="C153" s="246"/>
      <c r="D153" s="246"/>
      <c r="E153" s="246"/>
      <c r="F153" s="246"/>
      <c r="G153" s="246"/>
      <c r="H153" s="246"/>
      <c r="I153" s="247"/>
      <c r="J153" s="125">
        <f>ROUND(SUM(J152:J152),2)</f>
        <v>2.58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1:85" s="1" customFormat="1" ht="15" customHeight="1" x14ac:dyDescent="0.2">
      <c r="A154" s="260"/>
      <c r="B154" s="261"/>
      <c r="C154" s="261"/>
      <c r="D154" s="261"/>
      <c r="E154" s="261"/>
      <c r="F154" s="261"/>
      <c r="G154" s="261"/>
      <c r="H154" s="261"/>
      <c r="I154" s="261"/>
      <c r="J154" s="26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1:85" s="1" customFormat="1" ht="57.75" customHeight="1" x14ac:dyDescent="0.2">
      <c r="A155" s="121" t="s">
        <v>203</v>
      </c>
      <c r="B155" s="40" t="s">
        <v>16</v>
      </c>
      <c r="C155" s="226" t="str">
        <f>VLOOKUP(A155,ORÇAMENTO!B:K,4,FALSE)</f>
        <v>FERRAGENS PARA PORTA METÁLICA, DE ABRIR, COM UMA (1) FOLHAS, INCLUSIVE FECHADURA TIPO EXTERNA COM GRAU DE SEGURANÇA MÉDIO, ACABAMENTO EM ESPELHO CROMADO COM MAÇANETA MODELO ALAVANCA EM ZAMAC E DOBRADIÇA DE FERRO, MEDIDAS (3"X2.1/2"), TIPO PINO SOLTO COM BOLA, ACABAMENTO CROMADO, FORNECIMENTO, ACESSÓRIOS E INSTALAÇÃO, EXCLUSIVE PORTA METÁLICA</v>
      </c>
      <c r="D155" s="227"/>
      <c r="E155" s="227"/>
      <c r="F155" s="227"/>
      <c r="G155" s="227"/>
      <c r="H155" s="41" t="str">
        <f>VLOOKUP(A155,ORÇAMENTO!B:K,2,FALSE)</f>
        <v>SETOP</v>
      </c>
      <c r="I155" s="41" t="str">
        <f>VLOOKUP(A155,ORÇAMENTO!B:K,5,FALSE)</f>
        <v>un</v>
      </c>
      <c r="J155" s="122">
        <f>J159</f>
        <v>1</v>
      </c>
      <c r="K155" s="1" t="s">
        <v>269</v>
      </c>
    </row>
    <row r="156" spans="1:85" s="1" customFormat="1" ht="15" customHeight="1" x14ac:dyDescent="0.2">
      <c r="A156" s="248"/>
      <c r="B156" s="249"/>
      <c r="C156" s="242"/>
      <c r="D156" s="232" t="s">
        <v>40</v>
      </c>
      <c r="E156" s="230"/>
      <c r="F156" s="232"/>
      <c r="G156" s="230"/>
      <c r="H156" s="230"/>
      <c r="I156" s="230"/>
      <c r="J156" s="234" t="s">
        <v>65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1:85" s="1" customFormat="1" ht="14.25" customHeight="1" x14ac:dyDescent="0.2">
      <c r="A157" s="248"/>
      <c r="B157" s="249"/>
      <c r="C157" s="242"/>
      <c r="D157" s="233"/>
      <c r="E157" s="231"/>
      <c r="F157" s="233"/>
      <c r="G157" s="231"/>
      <c r="H157" s="231"/>
      <c r="I157" s="231"/>
      <c r="J157" s="234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1:85" s="1" customFormat="1" ht="14.25" customHeight="1" x14ac:dyDescent="0.2">
      <c r="A158" s="243" t="s">
        <v>102</v>
      </c>
      <c r="B158" s="244"/>
      <c r="C158" s="9" t="s">
        <v>99</v>
      </c>
      <c r="D158" s="7">
        <v>1</v>
      </c>
      <c r="E158" s="4"/>
      <c r="F158" s="7"/>
      <c r="G158" s="3"/>
      <c r="H158" s="3"/>
      <c r="I158" s="3"/>
      <c r="J158" s="123">
        <f>PRODUCT(D158:I158)</f>
        <v>1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1:85" s="1" customFormat="1" ht="15" x14ac:dyDescent="0.25">
      <c r="A159" s="245" t="s">
        <v>1</v>
      </c>
      <c r="B159" s="246"/>
      <c r="C159" s="246"/>
      <c r="D159" s="246"/>
      <c r="E159" s="246"/>
      <c r="F159" s="246"/>
      <c r="G159" s="246"/>
      <c r="H159" s="246"/>
      <c r="I159" s="247"/>
      <c r="J159" s="125">
        <f>ROUND(SUM(J158:J158),2)</f>
        <v>1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1:85" s="1" customFormat="1" x14ac:dyDescent="0.2">
      <c r="A160" s="260"/>
      <c r="B160" s="261"/>
      <c r="C160" s="261"/>
      <c r="D160" s="261"/>
      <c r="E160" s="261"/>
      <c r="F160" s="261"/>
      <c r="G160" s="261"/>
      <c r="H160" s="261"/>
      <c r="I160" s="261"/>
      <c r="J160" s="26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1:85" s="1" customFormat="1" ht="49.7" customHeight="1" x14ac:dyDescent="0.2">
      <c r="A161" s="121" t="s">
        <v>204</v>
      </c>
      <c r="B161" s="40" t="s">
        <v>16</v>
      </c>
      <c r="C161" s="226" t="str">
        <f>VLOOKUP(A161,ORÇAMENTO!B:K,4,FALSE)</f>
        <v>FORNECIMENTO DE JANELA DE CORRER EM FERRO, INCLUSIVE ASSENTAMENTO, FERRAGENS E ACESSÓRIOS</v>
      </c>
      <c r="D161" s="227"/>
      <c r="E161" s="227"/>
      <c r="F161" s="227"/>
      <c r="G161" s="227"/>
      <c r="H161" s="41" t="str">
        <f>VLOOKUP(A161,ORÇAMENTO!B:K,2,FALSE)</f>
        <v>SETOP</v>
      </c>
      <c r="I161" s="41" t="str">
        <f>VLOOKUP(A161,ORÇAMENTO!B:K,5,FALSE)</f>
        <v>m2</v>
      </c>
      <c r="J161" s="122">
        <f>J165</f>
        <v>4.8</v>
      </c>
      <c r="K161" s="1" t="s">
        <v>269</v>
      </c>
    </row>
    <row r="162" spans="1:85" s="1" customFormat="1" ht="15" customHeight="1" x14ac:dyDescent="0.2">
      <c r="A162" s="248"/>
      <c r="B162" s="249"/>
      <c r="C162" s="242"/>
      <c r="D162" s="228" t="s">
        <v>43</v>
      </c>
      <c r="E162" s="230" t="s">
        <v>44</v>
      </c>
      <c r="F162" s="232" t="s">
        <v>0</v>
      </c>
      <c r="G162" s="230"/>
      <c r="H162" s="230"/>
      <c r="I162" s="230"/>
      <c r="J162" s="234" t="s">
        <v>39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1:85" s="1" customFormat="1" ht="14.25" customHeight="1" x14ac:dyDescent="0.2">
      <c r="A163" s="248"/>
      <c r="B163" s="249"/>
      <c r="C163" s="242"/>
      <c r="D163" s="229"/>
      <c r="E163" s="231"/>
      <c r="F163" s="233"/>
      <c r="G163" s="231"/>
      <c r="H163" s="231"/>
      <c r="I163" s="231"/>
      <c r="J163" s="23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1:85" s="1" customFormat="1" ht="14.25" customHeight="1" x14ac:dyDescent="0.2">
      <c r="A164" s="243" t="s">
        <v>120</v>
      </c>
      <c r="B164" s="244"/>
      <c r="C164" s="9" t="s">
        <v>293</v>
      </c>
      <c r="D164" s="4">
        <v>2</v>
      </c>
      <c r="E164" s="4">
        <v>1.2</v>
      </c>
      <c r="F164" s="7">
        <v>2</v>
      </c>
      <c r="G164" s="3"/>
      <c r="H164" s="3"/>
      <c r="I164" s="3"/>
      <c r="J164" s="123">
        <f>PRODUCT(D164:I164)</f>
        <v>4.8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1:85" s="1" customFormat="1" ht="15" x14ac:dyDescent="0.25">
      <c r="A165" s="245" t="s">
        <v>1</v>
      </c>
      <c r="B165" s="246"/>
      <c r="C165" s="246"/>
      <c r="D165" s="246"/>
      <c r="E165" s="246"/>
      <c r="F165" s="246"/>
      <c r="G165" s="246"/>
      <c r="H165" s="246"/>
      <c r="I165" s="247"/>
      <c r="J165" s="125">
        <f>ROUND(SUM(J164:J164),2)</f>
        <v>4.8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1:85" s="1" customFormat="1" x14ac:dyDescent="0.2">
      <c r="A166" s="260"/>
      <c r="B166" s="261"/>
      <c r="C166" s="261"/>
      <c r="D166" s="261"/>
      <c r="E166" s="261"/>
      <c r="F166" s="261"/>
      <c r="G166" s="261"/>
      <c r="H166" s="261"/>
      <c r="I166" s="261"/>
      <c r="J166" s="26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1:85" s="1" customFormat="1" ht="62.25" customHeight="1" x14ac:dyDescent="0.2">
      <c r="A167" s="121" t="s">
        <v>205</v>
      </c>
      <c r="B167" s="40" t="s">
        <v>16</v>
      </c>
      <c r="C167" s="226" t="str">
        <f>VLOOKUP(A167,ORÇAMENTO!B:K,4,FALSE)</f>
        <v>PORTÃO DE GRADE EM BARRA REDONDA 1/2" E REQUADRO EM BARRA CHATA 1.1/4"X3/16", EXCLUSIVE CADEADO E PINTURA</v>
      </c>
      <c r="D167" s="227"/>
      <c r="E167" s="227"/>
      <c r="F167" s="227"/>
      <c r="G167" s="227"/>
      <c r="H167" s="41" t="str">
        <f>VLOOKUP(A167,ORÇAMENTO!B:K,2,FALSE)</f>
        <v>SETOP</v>
      </c>
      <c r="I167" s="41" t="str">
        <f>VLOOKUP(A167,ORÇAMENTO!B:K,5,FALSE)</f>
        <v>m2</v>
      </c>
      <c r="J167" s="122">
        <f>J171</f>
        <v>1.68</v>
      </c>
      <c r="K167" s="1" t="s">
        <v>269</v>
      </c>
    </row>
    <row r="168" spans="1:85" s="1" customFormat="1" ht="15" customHeight="1" x14ac:dyDescent="0.2">
      <c r="A168" s="248"/>
      <c r="B168" s="249"/>
      <c r="C168" s="242"/>
      <c r="D168" s="228" t="s">
        <v>43</v>
      </c>
      <c r="E168" s="230" t="s">
        <v>44</v>
      </c>
      <c r="F168" s="232" t="s">
        <v>0</v>
      </c>
      <c r="G168" s="230"/>
      <c r="H168" s="230"/>
      <c r="I168" s="230"/>
      <c r="J168" s="234" t="s">
        <v>39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1:85" s="1" customFormat="1" ht="14.25" customHeight="1" x14ac:dyDescent="0.2">
      <c r="A169" s="248"/>
      <c r="B169" s="249"/>
      <c r="C169" s="242"/>
      <c r="D169" s="229"/>
      <c r="E169" s="231"/>
      <c r="F169" s="233"/>
      <c r="G169" s="231"/>
      <c r="H169" s="231"/>
      <c r="I169" s="231"/>
      <c r="J169" s="23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1:85" s="1" customFormat="1" ht="14.25" customHeight="1" x14ac:dyDescent="0.2">
      <c r="A170" s="243" t="s">
        <v>101</v>
      </c>
      <c r="B170" s="244"/>
      <c r="C170" s="9" t="s">
        <v>294</v>
      </c>
      <c r="D170" s="4">
        <v>0.8</v>
      </c>
      <c r="E170" s="4">
        <v>2.1</v>
      </c>
      <c r="F170" s="7">
        <v>1</v>
      </c>
      <c r="G170" s="3"/>
      <c r="H170" s="3"/>
      <c r="I170" s="3"/>
      <c r="J170" s="123">
        <f>PRODUCT(D170:I170)</f>
        <v>1.6800000000000002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1:85" s="1" customFormat="1" ht="15" x14ac:dyDescent="0.25">
      <c r="A171" s="245" t="s">
        <v>1</v>
      </c>
      <c r="B171" s="246"/>
      <c r="C171" s="246"/>
      <c r="D171" s="246"/>
      <c r="E171" s="246"/>
      <c r="F171" s="246"/>
      <c r="G171" s="246"/>
      <c r="H171" s="246"/>
      <c r="I171" s="247"/>
      <c r="J171" s="125">
        <f>ROUND(SUM(J170:J170),2)</f>
        <v>1.68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1:85" s="1" customFormat="1" x14ac:dyDescent="0.2">
      <c r="A172" s="260"/>
      <c r="B172" s="261"/>
      <c r="C172" s="261"/>
      <c r="D172" s="261"/>
      <c r="E172" s="261"/>
      <c r="F172" s="261"/>
      <c r="G172" s="261"/>
      <c r="H172" s="261"/>
      <c r="I172" s="261"/>
      <c r="J172" s="26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1:85" s="1" customFormat="1" ht="20.100000000000001" customHeight="1" x14ac:dyDescent="0.2">
      <c r="A173" s="129" t="s">
        <v>206</v>
      </c>
      <c r="B173" s="257" t="str">
        <f>VLOOKUP(A173,ORÇAMENTO!B:K,2,FALSE)</f>
        <v xml:space="preserve">COBERTURA </v>
      </c>
      <c r="C173" s="258"/>
      <c r="D173" s="258"/>
      <c r="E173" s="258"/>
      <c r="F173" s="258"/>
      <c r="G173" s="258"/>
      <c r="H173" s="258"/>
      <c r="I173" s="258"/>
      <c r="J173" s="25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1:85" s="1" customFormat="1" ht="15" x14ac:dyDescent="0.25">
      <c r="A174" s="130"/>
      <c r="B174" s="26"/>
      <c r="C174" s="12"/>
      <c r="D174" s="12"/>
      <c r="E174" s="12"/>
      <c r="F174" s="12"/>
      <c r="G174" s="12"/>
      <c r="H174" s="26"/>
      <c r="I174" s="26"/>
      <c r="J174" s="13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1:85" s="1" customFormat="1" ht="49.7" customHeight="1" x14ac:dyDescent="0.2">
      <c r="A175" s="121" t="s">
        <v>208</v>
      </c>
      <c r="B175" s="40" t="s">
        <v>16</v>
      </c>
      <c r="C175" s="226" t="str">
        <f>VLOOKUP(A175,ORÇAMENTO!B:K,4,FALSE)</f>
        <v>COBERTURA EM TELHA METÁLICA GALVANIZADA TRAPEZOIDAL, TIPO SIMPLES, ESP. 0,50MM, ACABAMENTO NATURAL, INCLUSIVE ACESSÓRIOS PARA FIXAÇÃO, FORNECIMENTO E INSTALAÇÃO</v>
      </c>
      <c r="D175" s="227"/>
      <c r="E175" s="227"/>
      <c r="F175" s="227"/>
      <c r="G175" s="227"/>
      <c r="H175" s="41" t="str">
        <f>VLOOKUP(A175,ORÇAMENTO!B:K,2,FALSE)</f>
        <v>SETOP</v>
      </c>
      <c r="I175" s="41" t="str">
        <f>VLOOKUP(A175,ORÇAMENTO!B:K,5,FALSE)</f>
        <v>m2</v>
      </c>
      <c r="J175" s="122">
        <f>J179</f>
        <v>54.67</v>
      </c>
      <c r="K175" s="1" t="s">
        <v>269</v>
      </c>
    </row>
    <row r="176" spans="1:85" s="1" customFormat="1" ht="14.25" customHeight="1" x14ac:dyDescent="0.2">
      <c r="A176" s="248"/>
      <c r="B176" s="249"/>
      <c r="C176" s="242"/>
      <c r="D176" s="230" t="s">
        <v>3</v>
      </c>
      <c r="E176" s="232" t="s">
        <v>0</v>
      </c>
      <c r="F176" s="230"/>
      <c r="G176" s="230"/>
      <c r="H176" s="230"/>
      <c r="I176" s="230"/>
      <c r="J176" s="234" t="s">
        <v>39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1:85" s="1" customFormat="1" ht="14.25" customHeight="1" x14ac:dyDescent="0.2">
      <c r="A177" s="248"/>
      <c r="B177" s="249"/>
      <c r="C177" s="242"/>
      <c r="D177" s="231"/>
      <c r="E177" s="233"/>
      <c r="F177" s="231"/>
      <c r="G177" s="231"/>
      <c r="H177" s="231"/>
      <c r="I177" s="231"/>
      <c r="J177" s="234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1:85" s="1" customFormat="1" ht="15" x14ac:dyDescent="0.2">
      <c r="A178" s="243" t="s">
        <v>103</v>
      </c>
      <c r="B178" s="244"/>
      <c r="C178" s="9" t="s">
        <v>100</v>
      </c>
      <c r="D178" s="7">
        <v>54.67</v>
      </c>
      <c r="E178" s="7">
        <v>1</v>
      </c>
      <c r="F178" s="3"/>
      <c r="G178" s="3"/>
      <c r="H178" s="3"/>
      <c r="I178" s="3"/>
      <c r="J178" s="123">
        <f>PRODUCT(D178:I178)</f>
        <v>54.67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1:85" s="1" customFormat="1" ht="15" x14ac:dyDescent="0.25">
      <c r="A179" s="245" t="s">
        <v>1</v>
      </c>
      <c r="B179" s="246"/>
      <c r="C179" s="246"/>
      <c r="D179" s="246"/>
      <c r="E179" s="246"/>
      <c r="F179" s="246"/>
      <c r="G179" s="246"/>
      <c r="H179" s="246"/>
      <c r="I179" s="247"/>
      <c r="J179" s="125">
        <f>ROUND(SUM(J178:J178),2)</f>
        <v>54.67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1:85" s="1" customFormat="1" ht="15" x14ac:dyDescent="0.25">
      <c r="A180" s="127"/>
      <c r="B180" s="8"/>
      <c r="C180" s="8"/>
      <c r="D180" s="8"/>
      <c r="E180" s="8"/>
      <c r="F180" s="8"/>
      <c r="G180" s="8"/>
      <c r="H180" s="8"/>
      <c r="I180" s="12"/>
      <c r="J180" s="13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1:85" s="1" customFormat="1" ht="49.7" customHeight="1" x14ac:dyDescent="0.2">
      <c r="A181" s="121" t="s">
        <v>209</v>
      </c>
      <c r="B181" s="40" t="s">
        <v>16</v>
      </c>
      <c r="C181" s="226" t="str">
        <f>VLOOKUP(A181,ORÇAMENTO!B:K,4,FALSE)</f>
        <v>TRAMA DE AÇO COMPOSTA POR TERÇAS PARA TELHADOS DE ATÉ 2 ÁGUAS PARA TELHA ONDULADA DE FIBROCIMENTO, METÁLICA, PLÁSTICA OU TERMOACÚSTICA, INCLUSO TRANSPORTE VERTICAL. AF_07/2019</v>
      </c>
      <c r="D181" s="227"/>
      <c r="E181" s="227"/>
      <c r="F181" s="227"/>
      <c r="G181" s="227"/>
      <c r="H181" s="41" t="str">
        <f>VLOOKUP(A181,ORÇAMENTO!B:K,2,FALSE)</f>
        <v>SINAPI</v>
      </c>
      <c r="I181" s="41" t="str">
        <f>VLOOKUP(A181,ORÇAMENTO!B:K,5,FALSE)</f>
        <v>M2</v>
      </c>
      <c r="J181" s="122">
        <f>J185</f>
        <v>54.67</v>
      </c>
      <c r="K181" s="1" t="s">
        <v>269</v>
      </c>
    </row>
    <row r="182" spans="1:85" s="1" customFormat="1" ht="14.25" customHeight="1" x14ac:dyDescent="0.2">
      <c r="A182" s="248"/>
      <c r="B182" s="249"/>
      <c r="C182" s="242"/>
      <c r="D182" s="230" t="s">
        <v>3</v>
      </c>
      <c r="E182" s="232" t="s">
        <v>0</v>
      </c>
      <c r="F182" s="230"/>
      <c r="G182" s="230"/>
      <c r="H182" s="230"/>
      <c r="I182" s="230"/>
      <c r="J182" s="234" t="s">
        <v>39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1:85" s="1" customFormat="1" ht="14.25" customHeight="1" x14ac:dyDescent="0.2">
      <c r="A183" s="248"/>
      <c r="B183" s="249"/>
      <c r="C183" s="242"/>
      <c r="D183" s="231"/>
      <c r="E183" s="233"/>
      <c r="F183" s="231"/>
      <c r="G183" s="231"/>
      <c r="H183" s="231"/>
      <c r="I183" s="231"/>
      <c r="J183" s="23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1:85" s="1" customFormat="1" ht="15" x14ac:dyDescent="0.2">
      <c r="A184" s="243" t="s">
        <v>103</v>
      </c>
      <c r="B184" s="244"/>
      <c r="C184" s="9" t="s">
        <v>100</v>
      </c>
      <c r="D184" s="7">
        <v>54.67</v>
      </c>
      <c r="E184" s="7">
        <v>1</v>
      </c>
      <c r="F184" s="3"/>
      <c r="G184" s="3"/>
      <c r="H184" s="3"/>
      <c r="I184" s="3"/>
      <c r="J184" s="123">
        <f>PRODUCT(D184:I184)</f>
        <v>54.67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1:85" s="1" customFormat="1" ht="15" x14ac:dyDescent="0.25">
      <c r="A185" s="245" t="s">
        <v>1</v>
      </c>
      <c r="B185" s="246"/>
      <c r="C185" s="246"/>
      <c r="D185" s="246"/>
      <c r="E185" s="246"/>
      <c r="F185" s="246"/>
      <c r="G185" s="246"/>
      <c r="H185" s="246"/>
      <c r="I185" s="247"/>
      <c r="J185" s="125">
        <f>ROUND(SUM(J184:J184),2)</f>
        <v>54.67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1:85" s="1" customFormat="1" ht="15" x14ac:dyDescent="0.25">
      <c r="A186" s="127"/>
      <c r="B186" s="8"/>
      <c r="C186" s="8"/>
      <c r="D186" s="8"/>
      <c r="E186" s="8"/>
      <c r="F186" s="8"/>
      <c r="G186" s="8"/>
      <c r="H186" s="8"/>
      <c r="I186" s="12"/>
      <c r="J186" s="136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1:85" s="1" customFormat="1" ht="20.100000000000001" customHeight="1" x14ac:dyDescent="0.2">
      <c r="A187" s="129" t="s">
        <v>207</v>
      </c>
      <c r="B187" s="257" t="str">
        <f>VLOOKUP(A187,ORÇAMENTO!B:K,2,FALSE)</f>
        <v xml:space="preserve">PINTURA </v>
      </c>
      <c r="C187" s="258"/>
      <c r="D187" s="258"/>
      <c r="E187" s="258"/>
      <c r="F187" s="258"/>
      <c r="G187" s="258"/>
      <c r="H187" s="258"/>
      <c r="I187" s="258"/>
      <c r="J187" s="25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1:85" s="1" customFormat="1" ht="15" x14ac:dyDescent="0.25">
      <c r="A188" s="130"/>
      <c r="B188" s="26"/>
      <c r="C188" s="12"/>
      <c r="D188" s="12"/>
      <c r="E188" s="12"/>
      <c r="F188" s="12"/>
      <c r="G188" s="12"/>
      <c r="H188" s="26"/>
      <c r="I188" s="26"/>
      <c r="J188" s="13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1:85" s="1" customFormat="1" ht="49.7" customHeight="1" x14ac:dyDescent="0.2">
      <c r="A189" s="121" t="s">
        <v>210</v>
      </c>
      <c r="B189" s="40" t="s">
        <v>16</v>
      </c>
      <c r="C189" s="226" t="str">
        <f>VLOOKUP(A189,ORÇAMENTO!B:K,4,FALSE)</f>
        <v>FUNDO SELADOR ACRÍLICO, APLICAÇÃO MANUAL EM PAREDE, UMA DEMÃO. AF_04/2023</v>
      </c>
      <c r="D189" s="227"/>
      <c r="E189" s="227"/>
      <c r="F189" s="227"/>
      <c r="G189" s="227"/>
      <c r="H189" s="41" t="str">
        <f>VLOOKUP(A189,ORÇAMENTO!B:K,2,FALSE)</f>
        <v>SINAPI</v>
      </c>
      <c r="I189" s="41" t="str">
        <f>VLOOKUP(A189,ORÇAMENTO!B:K,5,FALSE)</f>
        <v>M2</v>
      </c>
      <c r="J189" s="122">
        <f>J206</f>
        <v>550.66</v>
      </c>
      <c r="K189" s="1" t="s">
        <v>269</v>
      </c>
    </row>
    <row r="190" spans="1:85" s="1" customFormat="1" ht="14.25" customHeight="1" x14ac:dyDescent="0.2">
      <c r="A190" s="238"/>
      <c r="B190" s="239"/>
      <c r="C190" s="228"/>
      <c r="D190" s="228" t="s">
        <v>43</v>
      </c>
      <c r="E190" s="230" t="s">
        <v>44</v>
      </c>
      <c r="F190" s="230" t="s">
        <v>3</v>
      </c>
      <c r="G190" s="232" t="s">
        <v>275</v>
      </c>
      <c r="H190" s="230"/>
      <c r="I190" s="230"/>
      <c r="J190" s="234" t="s">
        <v>39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1:85" s="1" customFormat="1" ht="14.25" customHeight="1" x14ac:dyDescent="0.2">
      <c r="A191" s="240"/>
      <c r="B191" s="241"/>
      <c r="C191" s="229"/>
      <c r="D191" s="229"/>
      <c r="E191" s="231"/>
      <c r="F191" s="231"/>
      <c r="G191" s="233"/>
      <c r="H191" s="231"/>
      <c r="I191" s="231"/>
      <c r="J191" s="23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1:85" s="1" customFormat="1" ht="15" x14ac:dyDescent="0.2">
      <c r="A192" s="243" t="s">
        <v>277</v>
      </c>
      <c r="B192" s="244"/>
      <c r="C192" s="4" t="s">
        <v>406</v>
      </c>
      <c r="D192" s="4">
        <f>0.3+5.56+6.36+5.73+0.305+6.36</f>
        <v>24.614999999999998</v>
      </c>
      <c r="E192" s="7">
        <v>6.4</v>
      </c>
      <c r="F192" s="7">
        <f>D192*E192</f>
        <v>157.536</v>
      </c>
      <c r="G192" s="7">
        <f>(3.08*2)*4</f>
        <v>24.64</v>
      </c>
      <c r="H192" s="23"/>
      <c r="I192" s="23"/>
      <c r="J192" s="123">
        <f>ROUND(F192-G192,2)</f>
        <v>132.9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1:85" s="1" customFormat="1" ht="15" x14ac:dyDescent="0.2">
      <c r="A193" s="243" t="s">
        <v>282</v>
      </c>
      <c r="B193" s="244"/>
      <c r="C193" s="4"/>
      <c r="D193" s="4">
        <v>6.36</v>
      </c>
      <c r="E193" s="7">
        <v>5.08</v>
      </c>
      <c r="F193" s="7">
        <f t="shared" ref="F193:F194" si="13">D193*E193</f>
        <v>32.308800000000005</v>
      </c>
      <c r="G193" s="7">
        <f>1.2*2.15</f>
        <v>2.5799999999999996</v>
      </c>
      <c r="H193" s="23"/>
      <c r="I193" s="23"/>
      <c r="J193" s="123">
        <f t="shared" ref="J193:J205" si="14">ROUND(F193-G193,2)</f>
        <v>29.73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1:85" s="1" customFormat="1" ht="15" x14ac:dyDescent="0.2">
      <c r="A194" s="243" t="s">
        <v>283</v>
      </c>
      <c r="B194" s="244"/>
      <c r="C194" s="4"/>
      <c r="D194" s="4">
        <v>5.73</v>
      </c>
      <c r="E194" s="7">
        <v>4.4859999999999998</v>
      </c>
      <c r="F194" s="7">
        <f t="shared" si="13"/>
        <v>25.70478</v>
      </c>
      <c r="G194" s="7">
        <f>1.2*2</f>
        <v>2.4</v>
      </c>
      <c r="H194" s="23"/>
      <c r="I194" s="23"/>
      <c r="J194" s="123">
        <f t="shared" si="14"/>
        <v>23.3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1:85" s="1" customFormat="1" ht="15" x14ac:dyDescent="0.2">
      <c r="A195" s="243" t="s">
        <v>283</v>
      </c>
      <c r="B195" s="244"/>
      <c r="C195" s="4"/>
      <c r="D195" s="4"/>
      <c r="E195" s="7"/>
      <c r="F195" s="7">
        <f>(5.73*0.59)/2</f>
        <v>1.69035</v>
      </c>
      <c r="G195" s="7">
        <v>0</v>
      </c>
      <c r="H195" s="23"/>
      <c r="I195" s="23"/>
      <c r="J195" s="123">
        <f t="shared" si="14"/>
        <v>1.69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1:85" s="1" customFormat="1" ht="15" x14ac:dyDescent="0.2">
      <c r="A196" s="243" t="s">
        <v>285</v>
      </c>
      <c r="B196" s="244"/>
      <c r="C196" s="4"/>
      <c r="D196" s="4">
        <v>6.36</v>
      </c>
      <c r="E196" s="7">
        <v>4.4859999999999998</v>
      </c>
      <c r="F196" s="7">
        <f t="shared" ref="F196:F197" si="15">D196*E196</f>
        <v>28.53096</v>
      </c>
      <c r="G196" s="7">
        <v>0</v>
      </c>
      <c r="H196" s="23"/>
      <c r="I196" s="23"/>
      <c r="J196" s="123">
        <f t="shared" si="14"/>
        <v>28.53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1:85" s="1" customFormat="1" ht="15" x14ac:dyDescent="0.2">
      <c r="A197" s="243" t="s">
        <v>284</v>
      </c>
      <c r="B197" s="244"/>
      <c r="C197" s="4"/>
      <c r="D197" s="4">
        <v>5.56</v>
      </c>
      <c r="E197" s="7">
        <v>4.4859999999999998</v>
      </c>
      <c r="F197" s="7">
        <f t="shared" si="15"/>
        <v>24.942159999999998</v>
      </c>
      <c r="G197" s="7">
        <f>2*1.2</f>
        <v>2.4</v>
      </c>
      <c r="H197" s="23"/>
      <c r="I197" s="23"/>
      <c r="J197" s="123">
        <f t="shared" si="14"/>
        <v>22.54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1:85" s="1" customFormat="1" ht="15" x14ac:dyDescent="0.2">
      <c r="A198" s="243" t="s">
        <v>284</v>
      </c>
      <c r="B198" s="244"/>
      <c r="C198" s="4"/>
      <c r="D198" s="4"/>
      <c r="E198" s="7"/>
      <c r="F198" s="7">
        <f>(5.56*0.59)/2</f>
        <v>1.6401999999999999</v>
      </c>
      <c r="G198" s="7">
        <v>0</v>
      </c>
      <c r="H198" s="23"/>
      <c r="I198" s="23"/>
      <c r="J198" s="123">
        <f t="shared" si="14"/>
        <v>1.64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1:85" s="1" customFormat="1" ht="15" x14ac:dyDescent="0.2">
      <c r="A199" s="243" t="s">
        <v>278</v>
      </c>
      <c r="B199" s="244"/>
      <c r="C199" s="4"/>
      <c r="D199" s="4">
        <v>6.76</v>
      </c>
      <c r="E199" s="7">
        <v>11.68</v>
      </c>
      <c r="F199" s="7">
        <f t="shared" ref="F199:F200" si="16">D199*E199</f>
        <v>78.956800000000001</v>
      </c>
      <c r="G199" s="7">
        <f>(1.2*2.15)+((1.1+2.05+1.1)*0.15)</f>
        <v>3.2174999999999994</v>
      </c>
      <c r="H199" s="23"/>
      <c r="I199" s="23"/>
      <c r="J199" s="123">
        <f t="shared" si="14"/>
        <v>75.739999999999995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1:85" s="1" customFormat="1" ht="15" x14ac:dyDescent="0.2">
      <c r="A200" s="243" t="s">
        <v>279</v>
      </c>
      <c r="B200" s="244"/>
      <c r="C200" s="4"/>
      <c r="D200" s="4">
        <v>6.13</v>
      </c>
      <c r="E200" s="7">
        <v>11.086</v>
      </c>
      <c r="F200" s="7">
        <f t="shared" si="16"/>
        <v>67.957179999999994</v>
      </c>
      <c r="G200" s="7">
        <f>2*1.2</f>
        <v>2.4</v>
      </c>
      <c r="H200" s="23"/>
      <c r="I200" s="23"/>
      <c r="J200" s="123">
        <f t="shared" si="14"/>
        <v>65.56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1:85" s="1" customFormat="1" ht="15" x14ac:dyDescent="0.2">
      <c r="A201" s="243" t="s">
        <v>279</v>
      </c>
      <c r="B201" s="244"/>
      <c r="C201" s="4"/>
      <c r="D201" s="4"/>
      <c r="E201" s="7"/>
      <c r="F201" s="7">
        <f>(6.13*0.59)/2</f>
        <v>1.8083499999999999</v>
      </c>
      <c r="G201" s="7">
        <v>0</v>
      </c>
      <c r="H201" s="23"/>
      <c r="I201" s="23"/>
      <c r="J201" s="123">
        <f t="shared" si="14"/>
        <v>1.81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1:85" s="1" customFormat="1" ht="15" x14ac:dyDescent="0.2">
      <c r="A202" s="243" t="s">
        <v>280</v>
      </c>
      <c r="B202" s="244"/>
      <c r="C202" s="4"/>
      <c r="D202" s="4">
        <v>6.76</v>
      </c>
      <c r="E202" s="7">
        <v>11.086</v>
      </c>
      <c r="F202" s="7">
        <f t="shared" ref="F202:F205" si="17">D202*E202</f>
        <v>74.941360000000003</v>
      </c>
      <c r="G202" s="7">
        <f>((3.08+3.08)*4)</f>
        <v>24.64</v>
      </c>
      <c r="H202" s="23"/>
      <c r="I202" s="23"/>
      <c r="J202" s="123">
        <f t="shared" si="14"/>
        <v>50.3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1:85" s="1" customFormat="1" ht="15" x14ac:dyDescent="0.2">
      <c r="A203" s="243" t="s">
        <v>281</v>
      </c>
      <c r="B203" s="244"/>
      <c r="C203" s="4"/>
      <c r="D203" s="4">
        <v>5.95</v>
      </c>
      <c r="E203" s="7">
        <v>11.086</v>
      </c>
      <c r="F203" s="7">
        <f t="shared" si="17"/>
        <v>65.961700000000008</v>
      </c>
      <c r="G203" s="7">
        <f>2*1.2</f>
        <v>2.4</v>
      </c>
      <c r="H203" s="23"/>
      <c r="I203" s="23"/>
      <c r="J203" s="123">
        <f t="shared" si="14"/>
        <v>63.56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1:85" s="1" customFormat="1" ht="15" x14ac:dyDescent="0.2">
      <c r="A204" s="243" t="s">
        <v>281</v>
      </c>
      <c r="B204" s="244"/>
      <c r="C204" s="4"/>
      <c r="D204" s="4"/>
      <c r="E204" s="7"/>
      <c r="F204" s="7">
        <f>(5.95*0.59)/2</f>
        <v>1.75525</v>
      </c>
      <c r="G204" s="7">
        <v>0</v>
      </c>
      <c r="H204" s="23"/>
      <c r="I204" s="23"/>
      <c r="J204" s="123">
        <f t="shared" si="14"/>
        <v>1.76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1:85" s="1" customFormat="1" x14ac:dyDescent="0.2">
      <c r="A205" s="243" t="s">
        <v>292</v>
      </c>
      <c r="B205" s="244"/>
      <c r="C205" s="4" t="s">
        <v>295</v>
      </c>
      <c r="D205" s="7">
        <f>1.1+0.23+1.25+1.1+0.23+1.25</f>
        <v>5.16</v>
      </c>
      <c r="E205" s="7">
        <v>10</v>
      </c>
      <c r="F205" s="7">
        <f t="shared" si="17"/>
        <v>51.6</v>
      </c>
      <c r="G205" s="7">
        <v>0</v>
      </c>
      <c r="H205" s="3"/>
      <c r="I205" s="3"/>
      <c r="J205" s="123">
        <f t="shared" si="14"/>
        <v>51.6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1:85" s="1" customFormat="1" ht="15" x14ac:dyDescent="0.25">
      <c r="A206" s="245" t="s">
        <v>1</v>
      </c>
      <c r="B206" s="246"/>
      <c r="C206" s="246"/>
      <c r="D206" s="246"/>
      <c r="E206" s="246"/>
      <c r="F206" s="246"/>
      <c r="G206" s="246"/>
      <c r="H206" s="246"/>
      <c r="I206" s="247"/>
      <c r="J206" s="125">
        <f>ROUND(SUM(J192:J205),2)</f>
        <v>550.66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1:85" s="1" customFormat="1" ht="15" x14ac:dyDescent="0.25">
      <c r="A207" s="127"/>
      <c r="B207" s="8"/>
      <c r="C207" s="8"/>
      <c r="D207" s="8"/>
      <c r="E207" s="8"/>
      <c r="F207" s="8"/>
      <c r="G207" s="8"/>
      <c r="H207" s="8"/>
      <c r="I207" s="12"/>
      <c r="J207" s="136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85" s="1" customFormat="1" ht="49.7" customHeight="1" x14ac:dyDescent="0.2">
      <c r="A208" s="121" t="s">
        <v>211</v>
      </c>
      <c r="B208" s="40" t="s">
        <v>16</v>
      </c>
      <c r="C208" s="226" t="str">
        <f>VLOOKUP(A208,ORÇAMENTO!B:K,4,FALSE)</f>
        <v>PINTURA ACRÍLICA EM PAREDE, DUAS (2) DEMÃOS, COM APLICAÇÃO MANUAL, EXCLUSIVE SELADOR ACRÍLICO E MASSA ACRÍLICA/CORRIDA (PVA)</v>
      </c>
      <c r="D208" s="227"/>
      <c r="E208" s="227"/>
      <c r="F208" s="227"/>
      <c r="G208" s="227"/>
      <c r="H208" s="41" t="str">
        <f>VLOOKUP(A208,ORÇAMENTO!B:K,2,FALSE)</f>
        <v>SETOP</v>
      </c>
      <c r="I208" s="41" t="str">
        <f>VLOOKUP(A208,ORÇAMENTO!B:K,5,FALSE)</f>
        <v>m2</v>
      </c>
      <c r="J208" s="122">
        <f>J225</f>
        <v>550.66</v>
      </c>
      <c r="K208" s="1" t="s">
        <v>269</v>
      </c>
    </row>
    <row r="209" spans="1:85" s="1" customFormat="1" ht="14.25" customHeight="1" x14ac:dyDescent="0.2">
      <c r="A209" s="238"/>
      <c r="B209" s="239"/>
      <c r="C209" s="228"/>
      <c r="D209" s="228" t="s">
        <v>43</v>
      </c>
      <c r="E209" s="230" t="s">
        <v>44</v>
      </c>
      <c r="F209" s="230" t="s">
        <v>3</v>
      </c>
      <c r="G209" s="232" t="s">
        <v>275</v>
      </c>
      <c r="H209" s="230"/>
      <c r="I209" s="230"/>
      <c r="J209" s="234" t="s">
        <v>39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1:85" s="1" customFormat="1" ht="14.25" customHeight="1" x14ac:dyDescent="0.2">
      <c r="A210" s="240"/>
      <c r="B210" s="241"/>
      <c r="C210" s="229"/>
      <c r="D210" s="229"/>
      <c r="E210" s="231"/>
      <c r="F210" s="231"/>
      <c r="G210" s="233"/>
      <c r="H210" s="231"/>
      <c r="I210" s="231"/>
      <c r="J210" s="234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1:85" s="1" customFormat="1" ht="15" x14ac:dyDescent="0.2">
      <c r="A211" s="243" t="s">
        <v>277</v>
      </c>
      <c r="B211" s="244"/>
      <c r="C211" s="4" t="s">
        <v>406</v>
      </c>
      <c r="D211" s="4">
        <f>0.3+5.56+6.36+5.73+0.305+6.36</f>
        <v>24.614999999999998</v>
      </c>
      <c r="E211" s="7">
        <v>6.4</v>
      </c>
      <c r="F211" s="7">
        <f>D211*E211</f>
        <v>157.536</v>
      </c>
      <c r="G211" s="7">
        <f>(3.08*2)*4</f>
        <v>24.64</v>
      </c>
      <c r="H211" s="23"/>
      <c r="I211" s="23"/>
      <c r="J211" s="123">
        <f>ROUND(F211-G211,2)</f>
        <v>132.9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1:85" s="1" customFormat="1" ht="15" x14ac:dyDescent="0.2">
      <c r="A212" s="243" t="s">
        <v>282</v>
      </c>
      <c r="B212" s="244"/>
      <c r="C212" s="4"/>
      <c r="D212" s="4">
        <v>6.36</v>
      </c>
      <c r="E212" s="7">
        <v>5.08</v>
      </c>
      <c r="F212" s="7">
        <f t="shared" ref="F212:F213" si="18">D212*E212</f>
        <v>32.308800000000005</v>
      </c>
      <c r="G212" s="7">
        <f>1.2*2.15</f>
        <v>2.5799999999999996</v>
      </c>
      <c r="H212" s="23"/>
      <c r="I212" s="23"/>
      <c r="J212" s="123">
        <f t="shared" ref="J212:J224" si="19">ROUND(F212-G212,2)</f>
        <v>29.73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1:85" s="1" customFormat="1" ht="15" x14ac:dyDescent="0.2">
      <c r="A213" s="243" t="s">
        <v>283</v>
      </c>
      <c r="B213" s="244"/>
      <c r="C213" s="4"/>
      <c r="D213" s="4">
        <v>5.73</v>
      </c>
      <c r="E213" s="7">
        <v>4.4859999999999998</v>
      </c>
      <c r="F213" s="7">
        <f t="shared" si="18"/>
        <v>25.70478</v>
      </c>
      <c r="G213" s="7">
        <f>1.2*2</f>
        <v>2.4</v>
      </c>
      <c r="H213" s="23"/>
      <c r="I213" s="23"/>
      <c r="J213" s="123">
        <f t="shared" si="19"/>
        <v>23.3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1:85" s="1" customFormat="1" ht="15" x14ac:dyDescent="0.2">
      <c r="A214" s="243" t="s">
        <v>283</v>
      </c>
      <c r="B214" s="244"/>
      <c r="C214" s="4"/>
      <c r="D214" s="4"/>
      <c r="E214" s="7"/>
      <c r="F214" s="7">
        <f>(5.73*0.59)/2</f>
        <v>1.69035</v>
      </c>
      <c r="G214" s="7">
        <v>0</v>
      </c>
      <c r="H214" s="23"/>
      <c r="I214" s="23"/>
      <c r="J214" s="123">
        <f t="shared" si="19"/>
        <v>1.69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1:85" s="1" customFormat="1" ht="15" x14ac:dyDescent="0.2">
      <c r="A215" s="243" t="s">
        <v>285</v>
      </c>
      <c r="B215" s="244"/>
      <c r="C215" s="4"/>
      <c r="D215" s="4">
        <v>6.36</v>
      </c>
      <c r="E215" s="7">
        <v>4.4859999999999998</v>
      </c>
      <c r="F215" s="7">
        <f t="shared" ref="F215:F216" si="20">D215*E215</f>
        <v>28.53096</v>
      </c>
      <c r="G215" s="7">
        <v>0</v>
      </c>
      <c r="H215" s="23"/>
      <c r="I215" s="23"/>
      <c r="J215" s="123">
        <f t="shared" si="19"/>
        <v>28.53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1:85" s="1" customFormat="1" ht="15" x14ac:dyDescent="0.2">
      <c r="A216" s="243" t="s">
        <v>284</v>
      </c>
      <c r="B216" s="244"/>
      <c r="C216" s="4"/>
      <c r="D216" s="4">
        <v>5.56</v>
      </c>
      <c r="E216" s="7">
        <v>4.4859999999999998</v>
      </c>
      <c r="F216" s="7">
        <f t="shared" si="20"/>
        <v>24.942159999999998</v>
      </c>
      <c r="G216" s="7">
        <f>2*1.2</f>
        <v>2.4</v>
      </c>
      <c r="H216" s="23"/>
      <c r="I216" s="23"/>
      <c r="J216" s="123">
        <f t="shared" si="19"/>
        <v>22.54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1:85" s="1" customFormat="1" ht="15" x14ac:dyDescent="0.2">
      <c r="A217" s="243" t="s">
        <v>284</v>
      </c>
      <c r="B217" s="244"/>
      <c r="C217" s="4"/>
      <c r="D217" s="4"/>
      <c r="E217" s="7"/>
      <c r="F217" s="7">
        <f>(5.56*0.59)/2</f>
        <v>1.6401999999999999</v>
      </c>
      <c r="G217" s="7">
        <v>0</v>
      </c>
      <c r="H217" s="23"/>
      <c r="I217" s="23"/>
      <c r="J217" s="123">
        <f t="shared" si="19"/>
        <v>1.64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1:85" s="1" customFormat="1" ht="15" x14ac:dyDescent="0.2">
      <c r="A218" s="243" t="s">
        <v>278</v>
      </c>
      <c r="B218" s="244"/>
      <c r="C218" s="4"/>
      <c r="D218" s="4">
        <v>6.76</v>
      </c>
      <c r="E218" s="7">
        <v>11.68</v>
      </c>
      <c r="F218" s="7">
        <f t="shared" ref="F218:F219" si="21">D218*E218</f>
        <v>78.956800000000001</v>
      </c>
      <c r="G218" s="7">
        <f>(1.2*2.15)+((1.1+2.05+1.1)*0.15)</f>
        <v>3.2174999999999994</v>
      </c>
      <c r="H218" s="23"/>
      <c r="I218" s="23"/>
      <c r="J218" s="123">
        <f t="shared" si="19"/>
        <v>75.739999999999995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1:85" s="1" customFormat="1" ht="15" x14ac:dyDescent="0.2">
      <c r="A219" s="243" t="s">
        <v>279</v>
      </c>
      <c r="B219" s="244"/>
      <c r="C219" s="4"/>
      <c r="D219" s="4">
        <v>6.13</v>
      </c>
      <c r="E219" s="7">
        <v>11.086</v>
      </c>
      <c r="F219" s="7">
        <f t="shared" si="21"/>
        <v>67.957179999999994</v>
      </c>
      <c r="G219" s="7">
        <f>2*1.2</f>
        <v>2.4</v>
      </c>
      <c r="H219" s="23"/>
      <c r="I219" s="23"/>
      <c r="J219" s="123">
        <f t="shared" si="19"/>
        <v>65.56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1:85" s="1" customFormat="1" ht="15" x14ac:dyDescent="0.2">
      <c r="A220" s="243" t="s">
        <v>279</v>
      </c>
      <c r="B220" s="244"/>
      <c r="C220" s="4"/>
      <c r="D220" s="4"/>
      <c r="E220" s="7"/>
      <c r="F220" s="7">
        <f>(6.13*0.59)/2</f>
        <v>1.8083499999999999</v>
      </c>
      <c r="G220" s="7">
        <v>0</v>
      </c>
      <c r="H220" s="23"/>
      <c r="I220" s="23"/>
      <c r="J220" s="123">
        <f t="shared" si="19"/>
        <v>1.81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1:85" s="1" customFormat="1" ht="15" x14ac:dyDescent="0.2">
      <c r="A221" s="243" t="s">
        <v>280</v>
      </c>
      <c r="B221" s="244"/>
      <c r="C221" s="4"/>
      <c r="D221" s="4">
        <v>6.76</v>
      </c>
      <c r="E221" s="7">
        <v>11.086</v>
      </c>
      <c r="F221" s="7">
        <f t="shared" ref="F221:F222" si="22">D221*E221</f>
        <v>74.941360000000003</v>
      </c>
      <c r="G221" s="7">
        <f>((3.08+3.08)*4)</f>
        <v>24.64</v>
      </c>
      <c r="H221" s="23"/>
      <c r="I221" s="23"/>
      <c r="J221" s="123">
        <f t="shared" si="19"/>
        <v>50.3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1:85" s="1" customFormat="1" ht="15" x14ac:dyDescent="0.2">
      <c r="A222" s="243" t="s">
        <v>281</v>
      </c>
      <c r="B222" s="244"/>
      <c r="C222" s="4"/>
      <c r="D222" s="4">
        <v>5.95</v>
      </c>
      <c r="E222" s="7">
        <v>11.086</v>
      </c>
      <c r="F222" s="7">
        <f t="shared" si="22"/>
        <v>65.961700000000008</v>
      </c>
      <c r="G222" s="7">
        <f>2*1.2</f>
        <v>2.4</v>
      </c>
      <c r="H222" s="23"/>
      <c r="I222" s="23"/>
      <c r="J222" s="123">
        <f t="shared" si="19"/>
        <v>63.56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1:85" s="1" customFormat="1" ht="15" x14ac:dyDescent="0.2">
      <c r="A223" s="243" t="s">
        <v>281</v>
      </c>
      <c r="B223" s="244"/>
      <c r="C223" s="4"/>
      <c r="D223" s="4"/>
      <c r="E223" s="7"/>
      <c r="F223" s="7">
        <f>(5.95*0.59)/2</f>
        <v>1.75525</v>
      </c>
      <c r="G223" s="7">
        <v>0</v>
      </c>
      <c r="H223" s="23"/>
      <c r="I223" s="23"/>
      <c r="J223" s="123">
        <f t="shared" si="19"/>
        <v>1.76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1:85" s="1" customFormat="1" x14ac:dyDescent="0.2">
      <c r="A224" s="243" t="s">
        <v>292</v>
      </c>
      <c r="B224" s="244"/>
      <c r="C224" s="4" t="s">
        <v>295</v>
      </c>
      <c r="D224" s="7">
        <f>1.1+0.23+1.25+1.1+0.23+1.25</f>
        <v>5.16</v>
      </c>
      <c r="E224" s="7">
        <v>10</v>
      </c>
      <c r="F224" s="7">
        <f t="shared" ref="F224" si="23">D224*E224</f>
        <v>51.6</v>
      </c>
      <c r="G224" s="7">
        <v>0</v>
      </c>
      <c r="H224" s="3"/>
      <c r="I224" s="3"/>
      <c r="J224" s="123">
        <f t="shared" si="19"/>
        <v>51.6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1:85" s="1" customFormat="1" ht="15" x14ac:dyDescent="0.25">
      <c r="A225" s="245" t="s">
        <v>1</v>
      </c>
      <c r="B225" s="246"/>
      <c r="C225" s="246"/>
      <c r="D225" s="246"/>
      <c r="E225" s="246"/>
      <c r="F225" s="246"/>
      <c r="G225" s="246"/>
      <c r="H225" s="246"/>
      <c r="I225" s="247"/>
      <c r="J225" s="125">
        <f>ROUND(SUM(J211:J224),2)</f>
        <v>550.66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1:85" s="1" customFormat="1" ht="15" x14ac:dyDescent="0.25">
      <c r="A226" s="127"/>
      <c r="B226" s="8"/>
      <c r="C226" s="8"/>
      <c r="D226" s="8"/>
      <c r="E226" s="8"/>
      <c r="F226" s="8"/>
      <c r="G226" s="8"/>
      <c r="H226" s="8"/>
      <c r="I226" s="12"/>
      <c r="J226" s="13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1:85" s="1" customFormat="1" ht="49.7" customHeight="1" x14ac:dyDescent="0.2">
      <c r="A227" s="121" t="s">
        <v>212</v>
      </c>
      <c r="B227" s="40" t="s">
        <v>16</v>
      </c>
      <c r="C227" s="226" t="str">
        <f>VLOOKUP(A227,ORÇAMENTO!B:K,4,FALSE)</f>
        <v>FUNDO SELADOR ACRÍLICO, APLICAÇÃO MANUAL EM TETO, UMA DEMÃO. AF_04/2023</v>
      </c>
      <c r="D227" s="227"/>
      <c r="E227" s="227"/>
      <c r="F227" s="227"/>
      <c r="G227" s="227"/>
      <c r="H227" s="41" t="str">
        <f>VLOOKUP(A227,ORÇAMENTO!B:K,2,FALSE)</f>
        <v>SINAPI</v>
      </c>
      <c r="I227" s="41" t="str">
        <f>VLOOKUP(A227,ORÇAMENTO!B:K,5,FALSE)</f>
        <v>M2</v>
      </c>
      <c r="J227" s="122">
        <f>J231</f>
        <v>35.9</v>
      </c>
      <c r="K227" s="1" t="s">
        <v>269</v>
      </c>
    </row>
    <row r="228" spans="1:85" s="1" customFormat="1" x14ac:dyDescent="0.2">
      <c r="A228" s="248"/>
      <c r="B228" s="249"/>
      <c r="C228" s="242"/>
      <c r="D228" s="230" t="s">
        <v>3</v>
      </c>
      <c r="E228" s="232" t="s">
        <v>0</v>
      </c>
      <c r="F228" s="232"/>
      <c r="G228" s="230"/>
      <c r="H228" s="230"/>
      <c r="I228" s="230"/>
      <c r="J228" s="234" t="s">
        <v>39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1:85" s="1" customFormat="1" x14ac:dyDescent="0.2">
      <c r="A229" s="248"/>
      <c r="B229" s="249"/>
      <c r="C229" s="242"/>
      <c r="D229" s="231"/>
      <c r="E229" s="233"/>
      <c r="F229" s="233"/>
      <c r="G229" s="231"/>
      <c r="H229" s="231"/>
      <c r="I229" s="231"/>
      <c r="J229" s="234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1:85" s="1" customFormat="1" ht="15" x14ac:dyDescent="0.2">
      <c r="A230" s="243" t="s">
        <v>286</v>
      </c>
      <c r="B230" s="244"/>
      <c r="C230" s="9"/>
      <c r="D230" s="7">
        <v>35.9</v>
      </c>
      <c r="E230" s="7">
        <v>1</v>
      </c>
      <c r="F230" s="7"/>
      <c r="G230" s="3"/>
      <c r="H230" s="3"/>
      <c r="I230" s="3"/>
      <c r="J230" s="123">
        <f>PRODUCT(D230:I230)</f>
        <v>35.9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1:85" s="1" customFormat="1" ht="15" x14ac:dyDescent="0.25">
      <c r="A231" s="245" t="s">
        <v>1</v>
      </c>
      <c r="B231" s="246"/>
      <c r="C231" s="246"/>
      <c r="D231" s="246"/>
      <c r="E231" s="246"/>
      <c r="F231" s="246"/>
      <c r="G231" s="246"/>
      <c r="H231" s="246"/>
      <c r="I231" s="247"/>
      <c r="J231" s="125">
        <f>ROUND(SUM(J230:J230),2)</f>
        <v>35.9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1:85" s="1" customFormat="1" ht="15" x14ac:dyDescent="0.25">
      <c r="A232" s="127"/>
      <c r="B232" s="8"/>
      <c r="C232" s="8"/>
      <c r="D232" s="8"/>
      <c r="E232" s="8"/>
      <c r="F232" s="8"/>
      <c r="G232" s="8"/>
      <c r="H232" s="8"/>
      <c r="I232" s="12"/>
      <c r="J232" s="13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1:85" s="1" customFormat="1" ht="49.7" customHeight="1" x14ac:dyDescent="0.2">
      <c r="A233" s="121" t="s">
        <v>213</v>
      </c>
      <c r="B233" s="40" t="s">
        <v>16</v>
      </c>
      <c r="C233" s="226" t="str">
        <f>VLOOKUP(A233,ORÇAMENTO!B:K,4,FALSE)</f>
        <v>PINTURA ACRÍLICA EM TETO, DUAS (2) DEMÃOS, COM APLICAÇÃO MANUAL, EXCLUSIVE SELADOR ACRÍLICO E MASSA ACRÍLICA/CORRIDA (PVA)</v>
      </c>
      <c r="D233" s="227"/>
      <c r="E233" s="227"/>
      <c r="F233" s="227"/>
      <c r="G233" s="227"/>
      <c r="H233" s="41" t="str">
        <f>VLOOKUP(A233,ORÇAMENTO!B:K,2,FALSE)</f>
        <v>SETOP</v>
      </c>
      <c r="I233" s="41" t="str">
        <f>VLOOKUP(A233,ORÇAMENTO!B:K,5,FALSE)</f>
        <v>m2</v>
      </c>
      <c r="J233" s="122">
        <f>J237</f>
        <v>35.9</v>
      </c>
      <c r="K233" s="1" t="s">
        <v>269</v>
      </c>
    </row>
    <row r="234" spans="1:85" s="1" customFormat="1" x14ac:dyDescent="0.2">
      <c r="A234" s="248"/>
      <c r="B234" s="249"/>
      <c r="C234" s="242"/>
      <c r="D234" s="230" t="s">
        <v>3</v>
      </c>
      <c r="E234" s="232" t="s">
        <v>0</v>
      </c>
      <c r="F234" s="230"/>
      <c r="G234" s="230"/>
      <c r="H234" s="230"/>
      <c r="I234" s="230"/>
      <c r="J234" s="234" t="s">
        <v>39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1:85" s="1" customFormat="1" x14ac:dyDescent="0.2">
      <c r="A235" s="248"/>
      <c r="B235" s="249"/>
      <c r="C235" s="242"/>
      <c r="D235" s="231"/>
      <c r="E235" s="233"/>
      <c r="F235" s="231"/>
      <c r="G235" s="231"/>
      <c r="H235" s="231"/>
      <c r="I235" s="231"/>
      <c r="J235" s="234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1:85" s="1" customFormat="1" ht="15" x14ac:dyDescent="0.2">
      <c r="A236" s="243" t="s">
        <v>286</v>
      </c>
      <c r="B236" s="244"/>
      <c r="C236" s="9"/>
      <c r="D236" s="7">
        <v>35.9</v>
      </c>
      <c r="E236" s="7">
        <v>1</v>
      </c>
      <c r="F236" s="3"/>
      <c r="G236" s="3"/>
      <c r="H236" s="3"/>
      <c r="I236" s="3"/>
      <c r="J236" s="123">
        <f>PRODUCT(D236:I236)</f>
        <v>35.9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1:85" s="1" customFormat="1" ht="15" x14ac:dyDescent="0.25">
      <c r="A237" s="245" t="s">
        <v>1</v>
      </c>
      <c r="B237" s="246"/>
      <c r="C237" s="246"/>
      <c r="D237" s="246"/>
      <c r="E237" s="246"/>
      <c r="F237" s="246"/>
      <c r="G237" s="246"/>
      <c r="H237" s="246"/>
      <c r="I237" s="247"/>
      <c r="J237" s="125">
        <f>ROUND(SUM(J236:J236),2)</f>
        <v>35.9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1:85" s="1" customFormat="1" ht="15" x14ac:dyDescent="0.25">
      <c r="A238" s="127"/>
      <c r="B238" s="8"/>
      <c r="C238" s="8"/>
      <c r="D238" s="8"/>
      <c r="E238" s="8"/>
      <c r="F238" s="8"/>
      <c r="G238" s="8"/>
      <c r="H238" s="8"/>
      <c r="I238" s="12"/>
      <c r="J238" s="13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1:85" s="1" customFormat="1" ht="49.7" customHeight="1" x14ac:dyDescent="0.2">
      <c r="A239" s="121" t="s">
        <v>214</v>
      </c>
      <c r="B239" s="40" t="s">
        <v>16</v>
      </c>
      <c r="C239" s="226" t="str">
        <f>VLOOKUP(A239,ORÇAMENTO!B:K,4,FALSE)</f>
        <v>PINTURA ACRÍLICA PARA PISO EM PASSEIO/SUPERFÍCIE CIMENTADA, DUAS (2) DEMÃOS, COM APLICAÇÃO MANUAL</v>
      </c>
      <c r="D239" s="227"/>
      <c r="E239" s="227"/>
      <c r="F239" s="227"/>
      <c r="G239" s="227"/>
      <c r="H239" s="41" t="str">
        <f>VLOOKUP(A239,ORÇAMENTO!B:K,2,FALSE)</f>
        <v>SETOP</v>
      </c>
      <c r="I239" s="41" t="str">
        <f>VLOOKUP(A239,ORÇAMENTO!B:K,5,FALSE)</f>
        <v>m2</v>
      </c>
      <c r="J239" s="122">
        <f>J243</f>
        <v>35.9</v>
      </c>
      <c r="K239" s="1" t="s">
        <v>269</v>
      </c>
    </row>
    <row r="240" spans="1:85" s="1" customFormat="1" x14ac:dyDescent="0.2">
      <c r="A240" s="248"/>
      <c r="B240" s="249"/>
      <c r="C240" s="242"/>
      <c r="D240" s="230" t="s">
        <v>3</v>
      </c>
      <c r="E240" s="232" t="s">
        <v>0</v>
      </c>
      <c r="F240" s="232"/>
      <c r="G240" s="230"/>
      <c r="H240" s="230"/>
      <c r="I240" s="230"/>
      <c r="J240" s="234" t="s">
        <v>39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1:85" s="1" customFormat="1" x14ac:dyDescent="0.2">
      <c r="A241" s="248"/>
      <c r="B241" s="249"/>
      <c r="C241" s="242"/>
      <c r="D241" s="231"/>
      <c r="E241" s="233"/>
      <c r="F241" s="233"/>
      <c r="G241" s="231"/>
      <c r="H241" s="231"/>
      <c r="I241" s="231"/>
      <c r="J241" s="234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1:85" s="1" customFormat="1" ht="15" x14ac:dyDescent="0.2">
      <c r="A242" s="243" t="s">
        <v>296</v>
      </c>
      <c r="B242" s="244"/>
      <c r="C242" s="9"/>
      <c r="D242" s="7">
        <v>35.9</v>
      </c>
      <c r="E242" s="7">
        <v>1</v>
      </c>
      <c r="F242" s="7"/>
      <c r="G242" s="3"/>
      <c r="H242" s="3"/>
      <c r="I242" s="3"/>
      <c r="J242" s="123">
        <f>PRODUCT(D242:I242)</f>
        <v>35.9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1:85" s="1" customFormat="1" ht="15" x14ac:dyDescent="0.25">
      <c r="A243" s="245" t="s">
        <v>1</v>
      </c>
      <c r="B243" s="246"/>
      <c r="C243" s="246"/>
      <c r="D243" s="246"/>
      <c r="E243" s="246"/>
      <c r="F243" s="246"/>
      <c r="G243" s="246"/>
      <c r="H243" s="246"/>
      <c r="I243" s="247"/>
      <c r="J243" s="125">
        <f>ROUND(SUM(J242:J242),2)</f>
        <v>35.9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1:85" s="1" customFormat="1" ht="15" x14ac:dyDescent="0.25">
      <c r="A244" s="127"/>
      <c r="B244" s="8"/>
      <c r="C244" s="8"/>
      <c r="D244" s="8"/>
      <c r="E244" s="8"/>
      <c r="F244" s="8"/>
      <c r="G244" s="8"/>
      <c r="H244" s="8"/>
      <c r="I244" s="12"/>
      <c r="J244" s="13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1:85" s="1" customFormat="1" ht="49.7" customHeight="1" x14ac:dyDescent="0.2">
      <c r="A245" s="121" t="s">
        <v>215</v>
      </c>
      <c r="B245" s="40" t="s">
        <v>16</v>
      </c>
      <c r="C245" s="226" t="str">
        <f>VLOOKUP(A245,ORÇAMENTO!B:K,4,FALSE)</f>
        <v>PINTURA COM TINTA ALQUÍDICA DE ACABAMENTO (ESMALTE SINTÉTICO ACETINADO) PULVERIZADA SOBRE SUPERFÍCIES METÁLICAS (EXCETO PERFIL) EXECUTADO EM OBRA (02 DEMÃOS). AF_01/2020_PE</v>
      </c>
      <c r="D245" s="227"/>
      <c r="E245" s="227"/>
      <c r="F245" s="227"/>
      <c r="G245" s="227"/>
      <c r="H245" s="41" t="str">
        <f>VLOOKUP(A245,ORÇAMENTO!B:K,2,FALSE)</f>
        <v>SINAPI</v>
      </c>
      <c r="I245" s="41" t="str">
        <f>VLOOKUP(A245,ORÇAMENTO!B:K,5,FALSE)</f>
        <v>M2</v>
      </c>
      <c r="J245" s="122">
        <f>J252</f>
        <v>32.020000000000003</v>
      </c>
      <c r="K245" s="1" t="s">
        <v>269</v>
      </c>
    </row>
    <row r="246" spans="1:85" s="1" customFormat="1" ht="14.25" customHeight="1" x14ac:dyDescent="0.2">
      <c r="A246" s="248"/>
      <c r="B246" s="249"/>
      <c r="C246" s="242"/>
      <c r="D246" s="228" t="s">
        <v>43</v>
      </c>
      <c r="E246" s="230" t="s">
        <v>44</v>
      </c>
      <c r="F246" s="232" t="s">
        <v>0</v>
      </c>
      <c r="G246" s="230"/>
      <c r="H246" s="230"/>
      <c r="I246" s="230"/>
      <c r="J246" s="234" t="s">
        <v>39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1:85" s="1" customFormat="1" ht="14.25" customHeight="1" x14ac:dyDescent="0.2">
      <c r="A247" s="248"/>
      <c r="B247" s="249"/>
      <c r="C247" s="242"/>
      <c r="D247" s="229"/>
      <c r="E247" s="231"/>
      <c r="F247" s="233"/>
      <c r="G247" s="231"/>
      <c r="H247" s="231"/>
      <c r="I247" s="231"/>
      <c r="J247" s="234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1:85" s="1" customFormat="1" ht="15" x14ac:dyDescent="0.2">
      <c r="A248" s="243" t="s">
        <v>102</v>
      </c>
      <c r="B248" s="244"/>
      <c r="C248" s="9" t="s">
        <v>298</v>
      </c>
      <c r="D248" s="4">
        <v>1.2</v>
      </c>
      <c r="E248" s="4">
        <v>2.15</v>
      </c>
      <c r="F248" s="7">
        <v>1</v>
      </c>
      <c r="G248" s="3"/>
      <c r="H248" s="3"/>
      <c r="I248" s="3"/>
      <c r="J248" s="123">
        <f t="shared" ref="J248:J250" si="24">PRODUCT(D248:I248)</f>
        <v>2.5799999999999996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1:85" s="1" customFormat="1" ht="15" x14ac:dyDescent="0.2">
      <c r="A249" s="243" t="s">
        <v>120</v>
      </c>
      <c r="B249" s="244"/>
      <c r="C249" s="9" t="s">
        <v>299</v>
      </c>
      <c r="D249" s="4">
        <v>2</v>
      </c>
      <c r="E249" s="4">
        <v>1.2</v>
      </c>
      <c r="F249" s="7">
        <v>2</v>
      </c>
      <c r="G249" s="3"/>
      <c r="H249" s="3"/>
      <c r="I249" s="3"/>
      <c r="J249" s="123">
        <f t="shared" si="24"/>
        <v>4.8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1:85" s="1" customFormat="1" ht="15" x14ac:dyDescent="0.2">
      <c r="A250" s="243" t="s">
        <v>297</v>
      </c>
      <c r="B250" s="244"/>
      <c r="C250" s="9" t="s">
        <v>300</v>
      </c>
      <c r="D250" s="7">
        <v>3.08</v>
      </c>
      <c r="E250" s="7">
        <v>4</v>
      </c>
      <c r="F250" s="7">
        <v>2</v>
      </c>
      <c r="G250" s="3"/>
      <c r="H250" s="3"/>
      <c r="I250" s="3"/>
      <c r="J250" s="123">
        <f t="shared" si="24"/>
        <v>24.64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1:85" s="1" customFormat="1" x14ac:dyDescent="0.2">
      <c r="A251" s="243" t="s">
        <v>320</v>
      </c>
      <c r="B251" s="244"/>
      <c r="C251" s="4"/>
      <c r="D251" s="4">
        <v>6.36</v>
      </c>
      <c r="E251" s="7">
        <v>0.12</v>
      </c>
      <c r="F251" s="7">
        <v>3</v>
      </c>
      <c r="G251" s="3"/>
      <c r="H251" s="3"/>
      <c r="I251" s="3"/>
      <c r="J251" s="123">
        <f t="shared" ref="J251" si="25">PRODUCT(D251:I251)</f>
        <v>2.2896000000000001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1:85" s="1" customFormat="1" ht="15" x14ac:dyDescent="0.25">
      <c r="A252" s="245" t="s">
        <v>1</v>
      </c>
      <c r="B252" s="246"/>
      <c r="C252" s="246"/>
      <c r="D252" s="246"/>
      <c r="E252" s="246"/>
      <c r="F252" s="246"/>
      <c r="G252" s="246"/>
      <c r="H252" s="246"/>
      <c r="I252" s="247"/>
      <c r="J252" s="125">
        <f>ROUND(SUM(J248:J250),2)</f>
        <v>32.020000000000003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1:85" s="1" customFormat="1" ht="15" x14ac:dyDescent="0.25">
      <c r="A253" s="127"/>
      <c r="B253" s="8"/>
      <c r="C253" s="8"/>
      <c r="D253" s="8"/>
      <c r="E253" s="8"/>
      <c r="F253" s="8"/>
      <c r="G253" s="8"/>
      <c r="H253" s="8"/>
      <c r="I253" s="12"/>
      <c r="J253" s="13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1:85" s="1" customFormat="1" ht="49.7" customHeight="1" x14ac:dyDescent="0.2">
      <c r="A254" s="121" t="s">
        <v>216</v>
      </c>
      <c r="B254" s="40" t="s">
        <v>16</v>
      </c>
      <c r="C254" s="226" t="str">
        <f>VLOOKUP(A254,ORÇAMENTO!B:K,4,FALSE)</f>
        <v>FORNECIMENTO DE ANDAIME METÁLICO TUBULAR TIPO TORRE (LOCAÇÃO), INCLUSIVE RODÍZIOS, EXCLUSIVE MONTAGEM E DESMONTAGEM</v>
      </c>
      <c r="D254" s="227"/>
      <c r="E254" s="227"/>
      <c r="F254" s="227"/>
      <c r="G254" s="227"/>
      <c r="H254" s="41" t="str">
        <f>VLOOKUP(A254,ORÇAMENTO!B:K,2,FALSE)</f>
        <v>SETOP</v>
      </c>
      <c r="I254" s="41" t="str">
        <f>VLOOKUP(A254,ORÇAMENTO!B:K,5,FALSE)</f>
        <v>mxmês</v>
      </c>
      <c r="J254" s="122">
        <f>J258</f>
        <v>286</v>
      </c>
      <c r="K254" s="1" t="s">
        <v>269</v>
      </c>
    </row>
    <row r="255" spans="1:85" s="1" customFormat="1" ht="14.25" customHeight="1" x14ac:dyDescent="0.2">
      <c r="A255" s="248"/>
      <c r="B255" s="249"/>
      <c r="C255" s="242"/>
      <c r="D255" s="230" t="s">
        <v>431</v>
      </c>
      <c r="E255" s="230" t="s">
        <v>432</v>
      </c>
      <c r="F255" s="232" t="s">
        <v>433</v>
      </c>
      <c r="G255" s="230"/>
      <c r="H255" s="230"/>
      <c r="I255" s="230"/>
      <c r="J255" s="234" t="s">
        <v>302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1:85" s="1" customFormat="1" ht="14.25" customHeight="1" x14ac:dyDescent="0.2">
      <c r="A256" s="248"/>
      <c r="B256" s="249"/>
      <c r="C256" s="242"/>
      <c r="D256" s="231"/>
      <c r="E256" s="231"/>
      <c r="F256" s="233"/>
      <c r="G256" s="231"/>
      <c r="H256" s="231"/>
      <c r="I256" s="231"/>
      <c r="J256" s="234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1:85" s="1" customFormat="1" ht="15" x14ac:dyDescent="0.2">
      <c r="A257" s="243" t="s">
        <v>301</v>
      </c>
      <c r="B257" s="244"/>
      <c r="C257" s="9"/>
      <c r="D257" s="4">
        <v>26</v>
      </c>
      <c r="E257" s="4">
        <v>11</v>
      </c>
      <c r="F257" s="7">
        <v>1</v>
      </c>
      <c r="G257" s="3"/>
      <c r="H257" s="3"/>
      <c r="I257" s="3"/>
      <c r="J257" s="123">
        <f>PRODUCT(D257:I257)</f>
        <v>286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1:85" s="1" customFormat="1" ht="15" x14ac:dyDescent="0.25">
      <c r="A258" s="245" t="s">
        <v>1</v>
      </c>
      <c r="B258" s="246"/>
      <c r="C258" s="246"/>
      <c r="D258" s="246"/>
      <c r="E258" s="246"/>
      <c r="F258" s="246"/>
      <c r="G258" s="246"/>
      <c r="H258" s="246"/>
      <c r="I258" s="247"/>
      <c r="J258" s="125">
        <f>ROUND(SUM(J257:J257),2)</f>
        <v>286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1:85" s="1" customFormat="1" ht="15" x14ac:dyDescent="0.25">
      <c r="A259" s="127"/>
      <c r="B259" s="8"/>
      <c r="C259" s="8"/>
      <c r="D259" s="8"/>
      <c r="E259" s="8"/>
      <c r="F259" s="8"/>
      <c r="G259" s="8"/>
      <c r="H259" s="8"/>
      <c r="I259" s="12"/>
      <c r="J259" s="13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1:85" s="1" customFormat="1" ht="20.100000000000001" customHeight="1" x14ac:dyDescent="0.2">
      <c r="A260" s="129" t="s">
        <v>217</v>
      </c>
      <c r="B260" s="257" t="str">
        <f>VLOOKUP(A260,ORÇAMENTO!B:K,2,FALSE)</f>
        <v>INSTALAÇÕES</v>
      </c>
      <c r="C260" s="258"/>
      <c r="D260" s="258"/>
      <c r="E260" s="258"/>
      <c r="F260" s="258"/>
      <c r="G260" s="258"/>
      <c r="H260" s="258"/>
      <c r="I260" s="258"/>
      <c r="J260" s="25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1:85" s="1" customFormat="1" ht="15" x14ac:dyDescent="0.25">
      <c r="A261" s="130"/>
      <c r="B261" s="26"/>
      <c r="C261" s="12"/>
      <c r="D261" s="12"/>
      <c r="E261" s="12"/>
      <c r="F261" s="12"/>
      <c r="G261" s="12"/>
      <c r="H261" s="26"/>
      <c r="I261" s="26"/>
      <c r="J261" s="13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1:85" s="1" customFormat="1" ht="49.7" customHeight="1" x14ac:dyDescent="0.2">
      <c r="A262" s="121" t="s">
        <v>218</v>
      </c>
      <c r="B262" s="40" t="s">
        <v>16</v>
      </c>
      <c r="C262" s="226" t="str">
        <f>VLOOKUP(A262,ORÇAMENTO!B:K,4,FALSE)</f>
        <v>LÂMPADA LED, BASE E27, POTÊNCIA 15W, BULBO A65, TEMPERATURA DA COR 6500K, TENSÃO 110-127V, FORNECIMENTO E INSTALAÇÃO, EXCLUSIVE LUMINÁRIA</v>
      </c>
      <c r="D262" s="227"/>
      <c r="E262" s="227"/>
      <c r="F262" s="227"/>
      <c r="G262" s="227"/>
      <c r="H262" s="41" t="str">
        <f>VLOOKUP(A262,ORÇAMENTO!B:K,2,FALSE)</f>
        <v>SETOP</v>
      </c>
      <c r="I262" s="41" t="str">
        <f>VLOOKUP(A262,ORÇAMENTO!B:K,5,FALSE)</f>
        <v>un</v>
      </c>
      <c r="J262" s="122">
        <f>J266</f>
        <v>5</v>
      </c>
      <c r="K262" s="1" t="s">
        <v>269</v>
      </c>
    </row>
    <row r="263" spans="1:85" s="1" customFormat="1" ht="14.25" customHeight="1" x14ac:dyDescent="0.2">
      <c r="A263" s="248"/>
      <c r="B263" s="249"/>
      <c r="C263" s="242"/>
      <c r="D263" s="242" t="s">
        <v>40</v>
      </c>
      <c r="E263" s="249"/>
      <c r="F263" s="230"/>
      <c r="G263" s="230"/>
      <c r="H263" s="230"/>
      <c r="I263" s="230"/>
      <c r="J263" s="234" t="s">
        <v>65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1:85" s="1" customFormat="1" ht="14.25" customHeight="1" x14ac:dyDescent="0.2">
      <c r="A264" s="248"/>
      <c r="B264" s="249"/>
      <c r="C264" s="242"/>
      <c r="D264" s="242"/>
      <c r="E264" s="249"/>
      <c r="F264" s="231"/>
      <c r="G264" s="231"/>
      <c r="H264" s="231"/>
      <c r="I264" s="231"/>
      <c r="J264" s="23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1:85" s="1" customFormat="1" ht="15" x14ac:dyDescent="0.2">
      <c r="A265" s="243"/>
      <c r="B265" s="244"/>
      <c r="C265" s="9"/>
      <c r="D265" s="4">
        <v>5</v>
      </c>
      <c r="E265" s="4"/>
      <c r="F265" s="3"/>
      <c r="G265" s="3"/>
      <c r="H265" s="3"/>
      <c r="I265" s="3"/>
      <c r="J265" s="123">
        <f>PRODUCT(D265:I265)</f>
        <v>5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1:85" s="1" customFormat="1" ht="15" x14ac:dyDescent="0.25">
      <c r="A266" s="245" t="s">
        <v>1</v>
      </c>
      <c r="B266" s="246"/>
      <c r="C266" s="246"/>
      <c r="D266" s="246"/>
      <c r="E266" s="246"/>
      <c r="F266" s="246"/>
      <c r="G266" s="246"/>
      <c r="H266" s="246"/>
      <c r="I266" s="247"/>
      <c r="J266" s="125">
        <f>ROUND(SUM(J265:J265),2)</f>
        <v>5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1:85" s="1" customFormat="1" ht="15" x14ac:dyDescent="0.25">
      <c r="A267" s="127"/>
      <c r="B267" s="8"/>
      <c r="C267" s="8"/>
      <c r="D267" s="8"/>
      <c r="E267" s="8"/>
      <c r="F267" s="8"/>
      <c r="G267" s="8"/>
      <c r="H267" s="8"/>
      <c r="I267" s="12"/>
      <c r="J267" s="13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1:85" s="1" customFormat="1" ht="49.7" customHeight="1" x14ac:dyDescent="0.2">
      <c r="A268" s="121" t="s">
        <v>323</v>
      </c>
      <c r="B268" s="40" t="s">
        <v>16</v>
      </c>
      <c r="C268" s="226" t="str">
        <f>VLOOKUP(A268,ORÇAMENTO!B:K,4,FALSE)</f>
        <v>ELETRODUTO DE AÇO GALVANIZADO LEVE, INCLUSIVE CONEXÕES, SUPORTES E FIXAÇÃO DN 20 (3/4")</v>
      </c>
      <c r="D268" s="227"/>
      <c r="E268" s="227"/>
      <c r="F268" s="227"/>
      <c r="G268" s="227"/>
      <c r="H268" s="41" t="str">
        <f>VLOOKUP(A268,ORÇAMENTO!B:K,2,FALSE)</f>
        <v>SETOP</v>
      </c>
      <c r="I268" s="41" t="str">
        <f>VLOOKUP(A268,ORÇAMENTO!B:K,5,FALSE)</f>
        <v>m</v>
      </c>
      <c r="J268" s="122">
        <f>J272</f>
        <v>21</v>
      </c>
      <c r="K268" s="1" t="s">
        <v>269</v>
      </c>
    </row>
    <row r="269" spans="1:85" s="1" customFormat="1" ht="14.25" customHeight="1" x14ac:dyDescent="0.2">
      <c r="A269" s="248"/>
      <c r="B269" s="249"/>
      <c r="C269" s="242"/>
      <c r="D269" s="242" t="s">
        <v>43</v>
      </c>
      <c r="E269" s="249"/>
      <c r="F269" s="230"/>
      <c r="G269" s="230"/>
      <c r="H269" s="230"/>
      <c r="I269" s="230"/>
      <c r="J269" s="234" t="s">
        <v>309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1:85" s="1" customFormat="1" ht="14.25" customHeight="1" x14ac:dyDescent="0.2">
      <c r="A270" s="248"/>
      <c r="B270" s="249"/>
      <c r="C270" s="242"/>
      <c r="D270" s="242"/>
      <c r="E270" s="249"/>
      <c r="F270" s="231"/>
      <c r="G270" s="231"/>
      <c r="H270" s="231"/>
      <c r="I270" s="231"/>
      <c r="J270" s="23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1:85" s="1" customFormat="1" ht="15" x14ac:dyDescent="0.2">
      <c r="A271" s="243"/>
      <c r="B271" s="244"/>
      <c r="C271" s="9"/>
      <c r="D271" s="4">
        <v>21</v>
      </c>
      <c r="E271" s="4"/>
      <c r="F271" s="3"/>
      <c r="G271" s="3"/>
      <c r="H271" s="3"/>
      <c r="I271" s="3"/>
      <c r="J271" s="123">
        <f>PRODUCT(D271:I271)</f>
        <v>21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1:85" s="1" customFormat="1" ht="15" x14ac:dyDescent="0.25">
      <c r="A272" s="245" t="s">
        <v>1</v>
      </c>
      <c r="B272" s="246"/>
      <c r="C272" s="246"/>
      <c r="D272" s="246"/>
      <c r="E272" s="246"/>
      <c r="F272" s="246"/>
      <c r="G272" s="246"/>
      <c r="H272" s="246"/>
      <c r="I272" s="247"/>
      <c r="J272" s="125">
        <f>ROUND(SUM(J271:J271),2)</f>
        <v>21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1:85" s="1" customFormat="1" ht="15" x14ac:dyDescent="0.25">
      <c r="A273" s="127"/>
      <c r="B273" s="8"/>
      <c r="C273" s="8"/>
      <c r="D273" s="8"/>
      <c r="E273" s="8"/>
      <c r="F273" s="8"/>
      <c r="G273" s="8"/>
      <c r="H273" s="8"/>
      <c r="I273" s="12"/>
      <c r="J273" s="13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1:85" s="1" customFormat="1" ht="49.7" customHeight="1" x14ac:dyDescent="0.2">
      <c r="A274" s="121" t="s">
        <v>324</v>
      </c>
      <c r="B274" s="40" t="s">
        <v>16</v>
      </c>
      <c r="C274" s="226" t="str">
        <f>VLOOKUP(A274,ORÇAMENTO!B:K,4,FALSE)</f>
        <v>CABO DE COBRE FLEXÍVEL, CLASSE 5, ISOLAMENTO TIPO LSHF/ATOX, NÃO HALOGENADO, ANTICHAMA, TERMOPLÁSTICO, UNIPOLAR, SEÇÃO 1,5 MM2, 70°C, 450/750V</v>
      </c>
      <c r="D274" s="227"/>
      <c r="E274" s="227"/>
      <c r="F274" s="227"/>
      <c r="G274" s="227"/>
      <c r="H274" s="41" t="str">
        <f>VLOOKUP(A274,ORÇAMENTO!B:K,2,FALSE)</f>
        <v>SETOP</v>
      </c>
      <c r="I274" s="41" t="str">
        <f>VLOOKUP(A274,ORÇAMENTO!B:K,5,FALSE)</f>
        <v>m</v>
      </c>
      <c r="J274" s="122">
        <f>J278</f>
        <v>63</v>
      </c>
      <c r="K274" s="1" t="s">
        <v>269</v>
      </c>
    </row>
    <row r="275" spans="1:85" s="1" customFormat="1" x14ac:dyDescent="0.2">
      <c r="A275" s="248"/>
      <c r="B275" s="249"/>
      <c r="C275" s="242"/>
      <c r="D275" s="242" t="s">
        <v>43</v>
      </c>
      <c r="E275" s="249" t="s">
        <v>434</v>
      </c>
      <c r="F275" s="230"/>
      <c r="G275" s="230"/>
      <c r="H275" s="230"/>
      <c r="I275" s="230"/>
      <c r="J275" s="234" t="s">
        <v>309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1:85" s="1" customFormat="1" x14ac:dyDescent="0.2">
      <c r="A276" s="248"/>
      <c r="B276" s="249"/>
      <c r="C276" s="242"/>
      <c r="D276" s="242"/>
      <c r="E276" s="249"/>
      <c r="F276" s="231"/>
      <c r="G276" s="231"/>
      <c r="H276" s="231"/>
      <c r="I276" s="231"/>
      <c r="J276" s="234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1:85" s="1" customFormat="1" ht="15" x14ac:dyDescent="0.2">
      <c r="A277" s="243"/>
      <c r="B277" s="244"/>
      <c r="C277" s="9"/>
      <c r="D277" s="4">
        <v>21</v>
      </c>
      <c r="E277" s="4">
        <v>3</v>
      </c>
      <c r="F277" s="3"/>
      <c r="G277" s="3"/>
      <c r="H277" s="3"/>
      <c r="I277" s="3"/>
      <c r="J277" s="123">
        <f>PRODUCT(D277:I277)</f>
        <v>63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1:85" s="1" customFormat="1" ht="15" x14ac:dyDescent="0.25">
      <c r="A278" s="245" t="s">
        <v>1</v>
      </c>
      <c r="B278" s="246"/>
      <c r="C278" s="246"/>
      <c r="D278" s="246"/>
      <c r="E278" s="246"/>
      <c r="F278" s="246"/>
      <c r="G278" s="246"/>
      <c r="H278" s="246"/>
      <c r="I278" s="247"/>
      <c r="J278" s="125">
        <f>ROUND(SUM(J277:J277),2)</f>
        <v>63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1:85" s="1" customFormat="1" ht="15" x14ac:dyDescent="0.25">
      <c r="A279" s="127"/>
      <c r="B279" s="8"/>
      <c r="C279" s="8"/>
      <c r="D279" s="8"/>
      <c r="E279" s="8"/>
      <c r="F279" s="8"/>
      <c r="G279" s="8"/>
      <c r="H279" s="8"/>
      <c r="I279" s="12"/>
      <c r="J279" s="13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1:85" s="1" customFormat="1" ht="49.7" customHeight="1" x14ac:dyDescent="0.2">
      <c r="A280" s="121" t="s">
        <v>325</v>
      </c>
      <c r="B280" s="40" t="s">
        <v>16</v>
      </c>
      <c r="C280" s="226" t="str">
        <f>VLOOKUP(A280,ORÇAMENTO!B:K,4,FALSE)</f>
        <v>LUMINÁRIA TIPO PLAFON CIRCULAR, DE SOBREPOR, COM LED DE 12/13 W - FORNECIMENTO E INSTALAÇÃO. AF_09/2024</v>
      </c>
      <c r="D280" s="227"/>
      <c r="E280" s="227"/>
      <c r="F280" s="227"/>
      <c r="G280" s="227"/>
      <c r="H280" s="41" t="str">
        <f>VLOOKUP(A280,ORÇAMENTO!B:K,2,FALSE)</f>
        <v>SINAPI</v>
      </c>
      <c r="I280" s="41" t="str">
        <f>VLOOKUP(A280,ORÇAMENTO!B:K,5,FALSE)</f>
        <v>UN</v>
      </c>
      <c r="J280" s="122">
        <f>J284</f>
        <v>4</v>
      </c>
      <c r="K280" s="1" t="s">
        <v>269</v>
      </c>
    </row>
    <row r="281" spans="1:85" s="1" customFormat="1" x14ac:dyDescent="0.2">
      <c r="A281" s="248"/>
      <c r="B281" s="249"/>
      <c r="C281" s="242"/>
      <c r="D281" s="242" t="s">
        <v>40</v>
      </c>
      <c r="E281" s="249"/>
      <c r="F281" s="230"/>
      <c r="G281" s="230"/>
      <c r="H281" s="230"/>
      <c r="I281" s="230"/>
      <c r="J281" s="234" t="s">
        <v>65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1:85" s="1" customFormat="1" x14ac:dyDescent="0.2">
      <c r="A282" s="248"/>
      <c r="B282" s="249"/>
      <c r="C282" s="242"/>
      <c r="D282" s="242"/>
      <c r="E282" s="249"/>
      <c r="F282" s="231"/>
      <c r="G282" s="231"/>
      <c r="H282" s="231"/>
      <c r="I282" s="231"/>
      <c r="J282" s="234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1:85" s="1" customFormat="1" ht="15" x14ac:dyDescent="0.2">
      <c r="A283" s="243"/>
      <c r="B283" s="244"/>
      <c r="C283" s="9"/>
      <c r="D283" s="4">
        <v>4</v>
      </c>
      <c r="E283" s="4"/>
      <c r="F283" s="3"/>
      <c r="G283" s="3"/>
      <c r="H283" s="3"/>
      <c r="I283" s="3"/>
      <c r="J283" s="123">
        <f>PRODUCT(D283:I283)</f>
        <v>4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1:85" s="1" customFormat="1" ht="15" x14ac:dyDescent="0.25">
      <c r="A284" s="245" t="s">
        <v>1</v>
      </c>
      <c r="B284" s="246"/>
      <c r="C284" s="246"/>
      <c r="D284" s="246"/>
      <c r="E284" s="246"/>
      <c r="F284" s="246"/>
      <c r="G284" s="246"/>
      <c r="H284" s="246"/>
      <c r="I284" s="247"/>
      <c r="J284" s="125">
        <f>ROUND(SUM(J283:J283),2)</f>
        <v>4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1:85" s="1" customFormat="1" ht="15" x14ac:dyDescent="0.25">
      <c r="A285" s="127"/>
      <c r="B285" s="8"/>
      <c r="C285" s="8"/>
      <c r="D285" s="8"/>
      <c r="E285" s="8"/>
      <c r="F285" s="8"/>
      <c r="G285" s="8"/>
      <c r="H285" s="8"/>
      <c r="I285" s="12"/>
      <c r="J285" s="13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1:85" s="1" customFormat="1" ht="49.7" customHeight="1" x14ac:dyDescent="0.2">
      <c r="A286" s="121" t="s">
        <v>326</v>
      </c>
      <c r="B286" s="40" t="s">
        <v>16</v>
      </c>
      <c r="C286" s="226" t="str">
        <f>VLOOKUP(A286,ORÇAMENTO!B:K,4,FALSE)</f>
        <v>INTERRUPTOR SIMPLES (1 MÓDULO), 10A/250V, INCLUINDO SUPORTE E PLACA - FORNECIMENTO E INSTALAÇÃO. AF_03/2023</v>
      </c>
      <c r="D286" s="227"/>
      <c r="E286" s="227"/>
      <c r="F286" s="227"/>
      <c r="G286" s="227"/>
      <c r="H286" s="41" t="str">
        <f>VLOOKUP(A286,ORÇAMENTO!B:K,2,FALSE)</f>
        <v>SINAPI</v>
      </c>
      <c r="I286" s="41" t="str">
        <f>VLOOKUP(A286,ORÇAMENTO!B:K,5,FALSE)</f>
        <v>UN</v>
      </c>
      <c r="J286" s="122">
        <f>J290</f>
        <v>1</v>
      </c>
      <c r="K286" s="1" t="s">
        <v>269</v>
      </c>
    </row>
    <row r="287" spans="1:85" s="1" customFormat="1" x14ac:dyDescent="0.2">
      <c r="A287" s="248"/>
      <c r="B287" s="249"/>
      <c r="C287" s="242"/>
      <c r="D287" s="242" t="s">
        <v>40</v>
      </c>
      <c r="E287" s="249"/>
      <c r="F287" s="230"/>
      <c r="G287" s="230"/>
      <c r="H287" s="230"/>
      <c r="I287" s="230"/>
      <c r="J287" s="234" t="s">
        <v>65</v>
      </c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1:85" s="1" customFormat="1" x14ac:dyDescent="0.2">
      <c r="A288" s="248"/>
      <c r="B288" s="249"/>
      <c r="C288" s="242"/>
      <c r="D288" s="242"/>
      <c r="E288" s="249"/>
      <c r="F288" s="231"/>
      <c r="G288" s="231"/>
      <c r="H288" s="231"/>
      <c r="I288" s="231"/>
      <c r="J288" s="23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1:85" s="1" customFormat="1" ht="15" x14ac:dyDescent="0.2">
      <c r="A289" s="243"/>
      <c r="B289" s="244"/>
      <c r="C289" s="9"/>
      <c r="D289" s="4">
        <v>1</v>
      </c>
      <c r="E289" s="4"/>
      <c r="F289" s="3"/>
      <c r="G289" s="3"/>
      <c r="H289" s="3"/>
      <c r="I289" s="3"/>
      <c r="J289" s="123">
        <f>PRODUCT(D289:I289)</f>
        <v>1</v>
      </c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1:85" s="1" customFormat="1" ht="15" x14ac:dyDescent="0.25">
      <c r="A290" s="245" t="s">
        <v>1</v>
      </c>
      <c r="B290" s="246"/>
      <c r="C290" s="246"/>
      <c r="D290" s="246"/>
      <c r="E290" s="246"/>
      <c r="F290" s="246"/>
      <c r="G290" s="246"/>
      <c r="H290" s="246"/>
      <c r="I290" s="247"/>
      <c r="J290" s="125">
        <f>ROUND(SUM(J289:J289),2)</f>
        <v>1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1:85" s="1" customFormat="1" ht="15" x14ac:dyDescent="0.25">
      <c r="A291" s="127"/>
      <c r="B291" s="8"/>
      <c r="C291" s="8"/>
      <c r="D291" s="8"/>
      <c r="E291" s="8"/>
      <c r="F291" s="8"/>
      <c r="G291" s="8"/>
      <c r="H291" s="8"/>
      <c r="I291" s="12"/>
      <c r="J291" s="13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1:85" s="1" customFormat="1" ht="20.100000000000001" customHeight="1" x14ac:dyDescent="0.2">
      <c r="A292" s="129" t="s">
        <v>219</v>
      </c>
      <c r="B292" s="257" t="str">
        <f>VLOOKUP(A292,ORÇAMENTO!B:K,2,FALSE)</f>
        <v>CONSTRUÇÃO DA ESCADA</v>
      </c>
      <c r="C292" s="258"/>
      <c r="D292" s="258"/>
      <c r="E292" s="258"/>
      <c r="F292" s="258"/>
      <c r="G292" s="258"/>
      <c r="H292" s="258"/>
      <c r="I292" s="258"/>
      <c r="J292" s="25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1:85" s="1" customFormat="1" ht="15" x14ac:dyDescent="0.25">
      <c r="A293" s="130"/>
      <c r="B293" s="26"/>
      <c r="C293" s="12"/>
      <c r="D293" s="12"/>
      <c r="E293" s="12"/>
      <c r="F293" s="12"/>
      <c r="G293" s="12"/>
      <c r="H293" s="26"/>
      <c r="I293" s="26"/>
      <c r="J293" s="13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</row>
    <row r="294" spans="1:85" s="1" customFormat="1" ht="15" x14ac:dyDescent="0.2">
      <c r="A294" s="137" t="s">
        <v>221</v>
      </c>
      <c r="B294" s="252" t="str">
        <f>VLOOKUP(A294,ORÇAMENTO!B:K,2,FALSE)</f>
        <v>MOVIMENTO DE TERRA</v>
      </c>
      <c r="C294" s="253"/>
      <c r="D294" s="253"/>
      <c r="E294" s="253"/>
      <c r="F294" s="253"/>
      <c r="G294" s="253"/>
      <c r="H294" s="253"/>
      <c r="I294" s="253"/>
      <c r="J294" s="254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</row>
    <row r="295" spans="1:85" s="1" customFormat="1" ht="15" x14ac:dyDescent="0.25">
      <c r="A295" s="130"/>
      <c r="B295" s="26"/>
      <c r="C295" s="12"/>
      <c r="D295" s="12"/>
      <c r="E295" s="12"/>
      <c r="F295" s="12"/>
      <c r="G295" s="12"/>
      <c r="H295" s="26"/>
      <c r="I295" s="26"/>
      <c r="J295" s="131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</row>
    <row r="296" spans="1:85" s="1" customFormat="1" ht="49.7" customHeight="1" x14ac:dyDescent="0.2">
      <c r="A296" s="121" t="s">
        <v>224</v>
      </c>
      <c r="B296" s="40" t="s">
        <v>16</v>
      </c>
      <c r="C296" s="226" t="str">
        <f>VLOOKUP(A296,ORÇAMENTO!B:K,4,FALSE)</f>
        <v>ESCAVAÇÃO MANUAL DE VALA COM PROFUNDIDADE MENOR OU IGUAL A 1,5M, INCLUSIVE DESCARGA LATERAL</v>
      </c>
      <c r="D296" s="227"/>
      <c r="E296" s="227"/>
      <c r="F296" s="227"/>
      <c r="G296" s="227"/>
      <c r="H296" s="41" t="str">
        <f>VLOOKUP(A296,ORÇAMENTO!B:K,2,FALSE)</f>
        <v>SETOP</v>
      </c>
      <c r="I296" s="41" t="str">
        <f>VLOOKUP(A296,ORÇAMENTO!B:K,5,FALSE)</f>
        <v>m3</v>
      </c>
      <c r="J296" s="122">
        <f>J300</f>
        <v>8.4700000000000006</v>
      </c>
      <c r="K296" s="1" t="s">
        <v>269</v>
      </c>
    </row>
    <row r="297" spans="1:85" s="1" customFormat="1" x14ac:dyDescent="0.2">
      <c r="A297" s="248"/>
      <c r="B297" s="249"/>
      <c r="C297" s="242"/>
      <c r="D297" s="242" t="s">
        <v>304</v>
      </c>
      <c r="E297" s="242" t="s">
        <v>305</v>
      </c>
      <c r="F297" s="255" t="s">
        <v>306</v>
      </c>
      <c r="G297" s="230" t="s">
        <v>0</v>
      </c>
      <c r="H297" s="230"/>
      <c r="I297" s="230"/>
      <c r="J297" s="234" t="s">
        <v>308</v>
      </c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</row>
    <row r="298" spans="1:85" s="1" customFormat="1" x14ac:dyDescent="0.2">
      <c r="A298" s="248"/>
      <c r="B298" s="249"/>
      <c r="C298" s="242"/>
      <c r="D298" s="242"/>
      <c r="E298" s="242"/>
      <c r="F298" s="256"/>
      <c r="G298" s="231"/>
      <c r="H298" s="231"/>
      <c r="I298" s="231"/>
      <c r="J298" s="23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</row>
    <row r="299" spans="1:85" s="1" customFormat="1" ht="15" x14ac:dyDescent="0.2">
      <c r="A299" s="243" t="s">
        <v>319</v>
      </c>
      <c r="B299" s="244"/>
      <c r="C299" s="9" t="s">
        <v>303</v>
      </c>
      <c r="D299" s="4">
        <f>0.6+0.1</f>
        <v>0.7</v>
      </c>
      <c r="E299" s="4">
        <f>0.6+0.1</f>
        <v>0.7</v>
      </c>
      <c r="F299" s="4">
        <f>1.05+0.03</f>
        <v>1.08</v>
      </c>
      <c r="G299" s="4">
        <f>16</f>
        <v>16</v>
      </c>
      <c r="H299" s="3"/>
      <c r="I299" s="3"/>
      <c r="J299" s="123">
        <f>PRODUCT(D299:I299)</f>
        <v>8.4672000000000001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</row>
    <row r="300" spans="1:85" s="1" customFormat="1" ht="15" x14ac:dyDescent="0.25">
      <c r="A300" s="245" t="s">
        <v>1</v>
      </c>
      <c r="B300" s="246"/>
      <c r="C300" s="246"/>
      <c r="D300" s="246"/>
      <c r="E300" s="246"/>
      <c r="F300" s="246"/>
      <c r="G300" s="246"/>
      <c r="H300" s="246"/>
      <c r="I300" s="247"/>
      <c r="J300" s="125">
        <f>ROUND(SUM(J299:J299),2)</f>
        <v>8.4700000000000006</v>
      </c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</row>
    <row r="301" spans="1:85" s="1" customFormat="1" ht="15" x14ac:dyDescent="0.25">
      <c r="A301" s="127"/>
      <c r="B301" s="8"/>
      <c r="C301" s="8"/>
      <c r="D301" s="8"/>
      <c r="E301" s="8"/>
      <c r="F301" s="8"/>
      <c r="G301" s="8"/>
      <c r="H301" s="8"/>
      <c r="I301" s="12"/>
      <c r="J301" s="13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</row>
    <row r="302" spans="1:85" s="1" customFormat="1" ht="49.7" customHeight="1" x14ac:dyDescent="0.2">
      <c r="A302" s="121" t="s">
        <v>225</v>
      </c>
      <c r="B302" s="40" t="s">
        <v>16</v>
      </c>
      <c r="C302" s="226" t="str">
        <f>VLOOKUP(A302,ORÇAMENTO!B:K,4,FALSE)</f>
        <v>REATERRO MANUAL DE VALA, INCLUSIVE ESPALHAMENTO E COMPACTAÇÃO MANUAL COM SOQUETE</v>
      </c>
      <c r="D302" s="227"/>
      <c r="E302" s="227"/>
      <c r="F302" s="227"/>
      <c r="G302" s="227"/>
      <c r="H302" s="41" t="str">
        <f>VLOOKUP(A302,ORÇAMENTO!B:K,2,FALSE)</f>
        <v>SETOP</v>
      </c>
      <c r="I302" s="41" t="str">
        <f>VLOOKUP(A302,ORÇAMENTO!B:K,5,FALSE)</f>
        <v>m3</v>
      </c>
      <c r="J302" s="122">
        <f>J306</f>
        <v>4.0199999999999996</v>
      </c>
      <c r="K302" s="1" t="s">
        <v>269</v>
      </c>
    </row>
    <row r="303" spans="1:85" s="1" customFormat="1" ht="14.25" customHeight="1" x14ac:dyDescent="0.2">
      <c r="A303" s="248"/>
      <c r="B303" s="249"/>
      <c r="C303" s="242"/>
      <c r="D303" s="242" t="s">
        <v>335</v>
      </c>
      <c r="E303" s="242" t="s">
        <v>336</v>
      </c>
      <c r="F303" s="255" t="s">
        <v>337</v>
      </c>
      <c r="G303" s="230"/>
      <c r="H303" s="230"/>
      <c r="I303" s="230"/>
      <c r="J303" s="234" t="s">
        <v>308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</row>
    <row r="304" spans="1:85" s="1" customFormat="1" ht="14.25" customHeight="1" x14ac:dyDescent="0.2">
      <c r="A304" s="248"/>
      <c r="B304" s="249"/>
      <c r="C304" s="242"/>
      <c r="D304" s="242"/>
      <c r="E304" s="242"/>
      <c r="F304" s="256"/>
      <c r="G304" s="231"/>
      <c r="H304" s="231"/>
      <c r="I304" s="231"/>
      <c r="J304" s="234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</row>
    <row r="305" spans="1:85" s="1" customFormat="1" ht="15" x14ac:dyDescent="0.2">
      <c r="A305" s="243"/>
      <c r="B305" s="244"/>
      <c r="C305" s="9"/>
      <c r="D305" s="4">
        <f>J300</f>
        <v>8.4700000000000006</v>
      </c>
      <c r="E305" s="4">
        <f>J325</f>
        <v>0.23519999999999996</v>
      </c>
      <c r="F305" s="4">
        <v>4.21</v>
      </c>
      <c r="G305" s="3"/>
      <c r="H305" s="3"/>
      <c r="I305" s="3"/>
      <c r="J305" s="123">
        <f>D305-(E305+F305)</f>
        <v>4.0248000000000008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</row>
    <row r="306" spans="1:85" s="1" customFormat="1" ht="15" x14ac:dyDescent="0.25">
      <c r="A306" s="245" t="s">
        <v>1</v>
      </c>
      <c r="B306" s="246"/>
      <c r="C306" s="246"/>
      <c r="D306" s="246"/>
      <c r="E306" s="246"/>
      <c r="F306" s="246"/>
      <c r="G306" s="246"/>
      <c r="H306" s="246"/>
      <c r="I306" s="247"/>
      <c r="J306" s="125">
        <f>ROUND(SUM(J305:J305),2)</f>
        <v>4.0199999999999996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</row>
    <row r="307" spans="1:85" s="1" customFormat="1" ht="15" x14ac:dyDescent="0.25">
      <c r="A307" s="127"/>
      <c r="B307" s="8"/>
      <c r="C307" s="8"/>
      <c r="D307" s="8"/>
      <c r="E307" s="8"/>
      <c r="F307" s="8"/>
      <c r="G307" s="8"/>
      <c r="H307" s="8"/>
      <c r="I307" s="12"/>
      <c r="J307" s="13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</row>
    <row r="308" spans="1:85" s="1" customFormat="1" ht="15" x14ac:dyDescent="0.2">
      <c r="A308" s="137" t="s">
        <v>227</v>
      </c>
      <c r="B308" s="252" t="str">
        <f>VLOOKUP(A308,ORÇAMENTO!B:K,2,FALSE)</f>
        <v>FUNDAÇÃO</v>
      </c>
      <c r="C308" s="253"/>
      <c r="D308" s="253"/>
      <c r="E308" s="253"/>
      <c r="F308" s="253"/>
      <c r="G308" s="253"/>
      <c r="H308" s="253"/>
      <c r="I308" s="253"/>
      <c r="J308" s="25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</row>
    <row r="309" spans="1:85" s="1" customFormat="1" ht="15" x14ac:dyDescent="0.25">
      <c r="A309" s="130"/>
      <c r="B309" s="26"/>
      <c r="C309" s="12"/>
      <c r="D309" s="12"/>
      <c r="E309" s="12"/>
      <c r="F309" s="12"/>
      <c r="G309" s="12"/>
      <c r="H309" s="26"/>
      <c r="I309" s="26"/>
      <c r="J309" s="131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</row>
    <row r="310" spans="1:85" s="1" customFormat="1" ht="49.7" customHeight="1" x14ac:dyDescent="0.2">
      <c r="A310" s="121" t="s">
        <v>226</v>
      </c>
      <c r="B310" s="40" t="s">
        <v>16</v>
      </c>
      <c r="C310" s="226" t="str">
        <f>VLOOKUP(A310,ORÇAMENTO!B:K,4,FALSE)</f>
        <v>ESTACA BROCA DE CONCRETO, DIÂMETRO DE 30CM, ESCAVAÇÃO MANUAL COM TRADO CONCHA, SEM ARMADURA</v>
      </c>
      <c r="D310" s="227"/>
      <c r="E310" s="227"/>
      <c r="F310" s="227"/>
      <c r="G310" s="227"/>
      <c r="H310" s="41" t="str">
        <f>VLOOKUP(A310,ORÇAMENTO!B:K,2,FALSE)</f>
        <v>CPU</v>
      </c>
      <c r="I310" s="41" t="str">
        <f>VLOOKUP(A310,ORÇAMENTO!B:K,5,FALSE)</f>
        <v>M</v>
      </c>
      <c r="J310" s="122">
        <f>J314</f>
        <v>39.200000000000003</v>
      </c>
      <c r="K310" s="1" t="s">
        <v>269</v>
      </c>
    </row>
    <row r="311" spans="1:85" s="1" customFormat="1" ht="14.25" customHeight="1" x14ac:dyDescent="0.2">
      <c r="A311" s="248"/>
      <c r="B311" s="249"/>
      <c r="C311" s="242"/>
      <c r="D311" s="242" t="s">
        <v>307</v>
      </c>
      <c r="E311" s="230" t="s">
        <v>0</v>
      </c>
      <c r="F311" s="230"/>
      <c r="G311" s="230"/>
      <c r="H311" s="230"/>
      <c r="I311" s="230"/>
      <c r="J311" s="234" t="s">
        <v>309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</row>
    <row r="312" spans="1:85" s="1" customFormat="1" ht="14.25" customHeight="1" x14ac:dyDescent="0.2">
      <c r="A312" s="248"/>
      <c r="B312" s="249"/>
      <c r="C312" s="242"/>
      <c r="D312" s="242"/>
      <c r="E312" s="231"/>
      <c r="F312" s="231"/>
      <c r="G312" s="231"/>
      <c r="H312" s="231"/>
      <c r="I312" s="231"/>
      <c r="J312" s="234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</row>
    <row r="313" spans="1:85" s="1" customFormat="1" ht="15" x14ac:dyDescent="0.2">
      <c r="A313" s="243"/>
      <c r="B313" s="244"/>
      <c r="C313" s="9"/>
      <c r="D313" s="4">
        <v>2.4500000000000002</v>
      </c>
      <c r="E313" s="4">
        <f>16</f>
        <v>16</v>
      </c>
      <c r="F313" s="3"/>
      <c r="G313" s="3"/>
      <c r="H313" s="3"/>
      <c r="I313" s="3"/>
      <c r="J313" s="123">
        <f>PRODUCT(D313:I313)</f>
        <v>39.200000000000003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</row>
    <row r="314" spans="1:85" s="1" customFormat="1" ht="15" x14ac:dyDescent="0.25">
      <c r="A314" s="245" t="s">
        <v>1</v>
      </c>
      <c r="B314" s="246"/>
      <c r="C314" s="246"/>
      <c r="D314" s="246"/>
      <c r="E314" s="246"/>
      <c r="F314" s="246"/>
      <c r="G314" s="246"/>
      <c r="H314" s="246"/>
      <c r="I314" s="247"/>
      <c r="J314" s="125">
        <f>ROUND(SUM(J313:J313),2)</f>
        <v>39.200000000000003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</row>
    <row r="315" spans="1:85" s="1" customFormat="1" ht="15" x14ac:dyDescent="0.25">
      <c r="A315" s="127"/>
      <c r="B315" s="8"/>
      <c r="C315" s="8"/>
      <c r="D315" s="8"/>
      <c r="E315" s="8"/>
      <c r="F315" s="8"/>
      <c r="G315" s="8"/>
      <c r="H315" s="8"/>
      <c r="I315" s="12"/>
      <c r="J315" s="13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</row>
    <row r="316" spans="1:85" s="1" customFormat="1" ht="49.7" customHeight="1" x14ac:dyDescent="0.2">
      <c r="A316" s="121" t="s">
        <v>228</v>
      </c>
      <c r="B316" s="40" t="s">
        <v>16</v>
      </c>
      <c r="C316" s="226" t="str">
        <f>VLOOKUP(A316,ORÇAMENTO!B:K,4,FALSE)</f>
        <v>APILOAMENTO MANUAL EM FUNDO DE VALA COM SOQUETE, EXCLUSIVE ESCAVAÇÃO</v>
      </c>
      <c r="D316" s="227"/>
      <c r="E316" s="227"/>
      <c r="F316" s="227"/>
      <c r="G316" s="227"/>
      <c r="H316" s="41" t="str">
        <f>VLOOKUP(A316,ORÇAMENTO!B:K,2,FALSE)</f>
        <v>SETOP</v>
      </c>
      <c r="I316" s="41" t="str">
        <f>VLOOKUP(A316,ORÇAMENTO!B:K,5,FALSE)</f>
        <v>m2</v>
      </c>
      <c r="J316" s="122">
        <f>J320</f>
        <v>7.84</v>
      </c>
      <c r="K316" s="1" t="s">
        <v>269</v>
      </c>
    </row>
    <row r="317" spans="1:85" s="1" customFormat="1" ht="14.25" customHeight="1" x14ac:dyDescent="0.2">
      <c r="A317" s="248"/>
      <c r="B317" s="249"/>
      <c r="C317" s="242"/>
      <c r="D317" s="242" t="s">
        <v>304</v>
      </c>
      <c r="E317" s="242" t="s">
        <v>305</v>
      </c>
      <c r="F317" s="230" t="s">
        <v>0</v>
      </c>
      <c r="G317" s="230"/>
      <c r="H317" s="230"/>
      <c r="I317" s="230"/>
      <c r="J317" s="234" t="s">
        <v>310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</row>
    <row r="318" spans="1:85" s="1" customFormat="1" ht="14.25" customHeight="1" x14ac:dyDescent="0.2">
      <c r="A318" s="248"/>
      <c r="B318" s="249"/>
      <c r="C318" s="242"/>
      <c r="D318" s="242"/>
      <c r="E318" s="242"/>
      <c r="F318" s="231"/>
      <c r="G318" s="231"/>
      <c r="H318" s="231"/>
      <c r="I318" s="231"/>
      <c r="J318" s="234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</row>
    <row r="319" spans="1:85" s="1" customFormat="1" ht="15" x14ac:dyDescent="0.2">
      <c r="A319" s="243" t="s">
        <v>319</v>
      </c>
      <c r="B319" s="244"/>
      <c r="C319" s="9" t="s">
        <v>303</v>
      </c>
      <c r="D319" s="4">
        <f>0.6+0.1</f>
        <v>0.7</v>
      </c>
      <c r="E319" s="4">
        <f>0.6+0.1</f>
        <v>0.7</v>
      </c>
      <c r="F319" s="4">
        <f>16</f>
        <v>16</v>
      </c>
      <c r="G319" s="3"/>
      <c r="H319" s="3"/>
      <c r="I319" s="3"/>
      <c r="J319" s="123">
        <f>PRODUCT(D319:I319)</f>
        <v>7.839999999999999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</row>
    <row r="320" spans="1:85" s="1" customFormat="1" ht="15" x14ac:dyDescent="0.25">
      <c r="A320" s="245" t="s">
        <v>1</v>
      </c>
      <c r="B320" s="246"/>
      <c r="C320" s="246"/>
      <c r="D320" s="246"/>
      <c r="E320" s="246"/>
      <c r="F320" s="246"/>
      <c r="G320" s="246"/>
      <c r="H320" s="246"/>
      <c r="I320" s="247"/>
      <c r="J320" s="125">
        <f>ROUND(SUM(J319:J319),2)</f>
        <v>7.84</v>
      </c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</row>
    <row r="321" spans="1:85" s="1" customFormat="1" ht="15" x14ac:dyDescent="0.25">
      <c r="A321" s="127"/>
      <c r="B321" s="8"/>
      <c r="C321" s="8"/>
      <c r="D321" s="8"/>
      <c r="E321" s="8"/>
      <c r="F321" s="8"/>
      <c r="G321" s="8"/>
      <c r="H321" s="8"/>
      <c r="I321" s="12"/>
      <c r="J321" s="13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</row>
    <row r="322" spans="1:85" s="1" customFormat="1" ht="49.7" customHeight="1" x14ac:dyDescent="0.2">
      <c r="A322" s="121" t="s">
        <v>229</v>
      </c>
      <c r="B322" s="40" t="s">
        <v>16</v>
      </c>
      <c r="C322" s="226" t="str">
        <f>VLOOKUP(A322,ORÇAMENTO!B:K,4,FALSE)</f>
        <v>CONCRETO MAGRO, TRAÇO 1:3:6, PREPARADO EM OBRA COM BETONEIRA, SEM FUNÇÃO ESTRUTURAL</v>
      </c>
      <c r="D322" s="227"/>
      <c r="E322" s="227"/>
      <c r="F322" s="227"/>
      <c r="G322" s="227"/>
      <c r="H322" s="41" t="str">
        <f>VLOOKUP(A322,ORÇAMENTO!B:K,2,FALSE)</f>
        <v>SETOP</v>
      </c>
      <c r="I322" s="41" t="str">
        <f>VLOOKUP(A322,ORÇAMENTO!B:K,5,FALSE)</f>
        <v>m3</v>
      </c>
      <c r="J322" s="122">
        <f>J330</f>
        <v>0.78</v>
      </c>
      <c r="K322" s="1" t="s">
        <v>269</v>
      </c>
    </row>
    <row r="323" spans="1:85" s="1" customFormat="1" ht="14.25" customHeight="1" x14ac:dyDescent="0.2">
      <c r="A323" s="248"/>
      <c r="B323" s="249"/>
      <c r="C323" s="242"/>
      <c r="D323" s="242" t="s">
        <v>43</v>
      </c>
      <c r="E323" s="242" t="s">
        <v>272</v>
      </c>
      <c r="F323" s="230" t="s">
        <v>2</v>
      </c>
      <c r="G323" s="230" t="s">
        <v>0</v>
      </c>
      <c r="H323" s="230"/>
      <c r="I323" s="230"/>
      <c r="J323" s="234" t="s">
        <v>308</v>
      </c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</row>
    <row r="324" spans="1:85" s="1" customFormat="1" ht="14.25" customHeight="1" x14ac:dyDescent="0.2">
      <c r="A324" s="248"/>
      <c r="B324" s="249"/>
      <c r="C324" s="242"/>
      <c r="D324" s="242"/>
      <c r="E324" s="242"/>
      <c r="F324" s="231"/>
      <c r="G324" s="231"/>
      <c r="H324" s="231"/>
      <c r="I324" s="231"/>
      <c r="J324" s="234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</row>
    <row r="325" spans="1:85" s="1" customFormat="1" ht="15" x14ac:dyDescent="0.2">
      <c r="A325" s="243" t="s">
        <v>319</v>
      </c>
      <c r="B325" s="244"/>
      <c r="C325" s="9" t="s">
        <v>303</v>
      </c>
      <c r="D325" s="4">
        <f>0.6+0.1</f>
        <v>0.7</v>
      </c>
      <c r="E325" s="4">
        <f>0.6+0.1</f>
        <v>0.7</v>
      </c>
      <c r="F325" s="4">
        <v>0.03</v>
      </c>
      <c r="G325" s="4">
        <f>16</f>
        <v>16</v>
      </c>
      <c r="H325" s="3"/>
      <c r="I325" s="3"/>
      <c r="J325" s="123">
        <f>PRODUCT(D325:I325)</f>
        <v>0.23519999999999996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</row>
    <row r="326" spans="1:85" s="1" customFormat="1" ht="15" x14ac:dyDescent="0.2">
      <c r="A326" s="243" t="s">
        <v>311</v>
      </c>
      <c r="B326" s="244"/>
      <c r="C326" s="9"/>
      <c r="D326" s="4">
        <v>0.38</v>
      </c>
      <c r="E326" s="4">
        <v>1.48</v>
      </c>
      <c r="F326" s="4">
        <v>0.03</v>
      </c>
      <c r="G326" s="4">
        <v>8</v>
      </c>
      <c r="H326" s="3"/>
      <c r="I326" s="3"/>
      <c r="J326" s="123">
        <f t="shared" ref="J326:J327" si="26">PRODUCT(D326:I326)</f>
        <v>0.13497599999999998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</row>
    <row r="327" spans="1:85" s="1" customFormat="1" ht="15" x14ac:dyDescent="0.2">
      <c r="A327" s="250" t="s">
        <v>312</v>
      </c>
      <c r="B327" s="251"/>
      <c r="C327" s="9"/>
      <c r="D327" s="4">
        <v>0.19</v>
      </c>
      <c r="E327" s="4">
        <v>5.78</v>
      </c>
      <c r="F327" s="4">
        <v>0.03</v>
      </c>
      <c r="G327" s="4">
        <v>4</v>
      </c>
      <c r="H327" s="3"/>
      <c r="I327" s="3"/>
      <c r="J327" s="123">
        <f t="shared" si="26"/>
        <v>0.13178400000000001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</row>
    <row r="328" spans="1:85" s="1" customFormat="1" ht="15" x14ac:dyDescent="0.2">
      <c r="A328" s="250" t="s">
        <v>313</v>
      </c>
      <c r="B328" s="251"/>
      <c r="C328" s="9"/>
      <c r="D328" s="4">
        <v>0.19</v>
      </c>
      <c r="E328" s="4">
        <v>5.82</v>
      </c>
      <c r="F328" s="4">
        <v>0.03</v>
      </c>
      <c r="G328" s="4">
        <v>4</v>
      </c>
      <c r="H328" s="3"/>
      <c r="I328" s="3"/>
      <c r="J328" s="123">
        <f>PRODUCT(D328:I328)</f>
        <v>0.13269600000000001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</row>
    <row r="329" spans="1:85" s="1" customFormat="1" ht="15" x14ac:dyDescent="0.2">
      <c r="A329" s="250" t="s">
        <v>314</v>
      </c>
      <c r="B329" s="251"/>
      <c r="C329" s="9"/>
      <c r="D329" s="4">
        <v>0.19</v>
      </c>
      <c r="E329" s="4">
        <v>6.17</v>
      </c>
      <c r="F329" s="4">
        <v>0.03</v>
      </c>
      <c r="G329" s="4">
        <v>4</v>
      </c>
      <c r="H329" s="3"/>
      <c r="I329" s="3"/>
      <c r="J329" s="123">
        <f t="shared" ref="J329" si="27">PRODUCT(D329:I329)</f>
        <v>0.140676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</row>
    <row r="330" spans="1:85" s="1" customFormat="1" ht="15" x14ac:dyDescent="0.25">
      <c r="A330" s="245" t="s">
        <v>1</v>
      </c>
      <c r="B330" s="246"/>
      <c r="C330" s="246"/>
      <c r="D330" s="246"/>
      <c r="E330" s="246"/>
      <c r="F330" s="246"/>
      <c r="G330" s="246"/>
      <c r="H330" s="246"/>
      <c r="I330" s="247"/>
      <c r="J330" s="125">
        <f>ROUND(SUM(J325:J329),2)</f>
        <v>0.78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</row>
    <row r="331" spans="1:85" s="1" customFormat="1" ht="15" x14ac:dyDescent="0.25">
      <c r="A331" s="127"/>
      <c r="B331" s="8"/>
      <c r="C331" s="8"/>
      <c r="D331" s="8"/>
      <c r="E331" s="8"/>
      <c r="F331" s="8"/>
      <c r="G331" s="8"/>
      <c r="H331" s="8"/>
      <c r="I331" s="12"/>
      <c r="J331" s="13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</row>
    <row r="332" spans="1:85" s="1" customFormat="1" ht="49.7" customHeight="1" x14ac:dyDescent="0.2">
      <c r="A332" s="121" t="s">
        <v>230</v>
      </c>
      <c r="B332" s="40" t="s">
        <v>16</v>
      </c>
      <c r="C332" s="226" t="str">
        <f>VLOOKUP(A332,ORÇAMENTO!B:K,4,FALSE)</f>
        <v>FABRICAÇÃO, MONTAGEM E DESMONTAGEM DE FÔRMA PARA BLOCO DE COROAMENTO, EM CHAPA DE MADEIRA COMPENSADA RESINADA, E=17 MM, 4 UTILIZAÇÕES. AF_01/2024</v>
      </c>
      <c r="D332" s="227"/>
      <c r="E332" s="227"/>
      <c r="F332" s="227"/>
      <c r="G332" s="227"/>
      <c r="H332" s="41" t="str">
        <f>VLOOKUP(A332,ORÇAMENTO!B:K,2,FALSE)</f>
        <v>SINAPI</v>
      </c>
      <c r="I332" s="41" t="str">
        <f>VLOOKUP(A332,ORÇAMENTO!B:K,5,FALSE)</f>
        <v>M2</v>
      </c>
      <c r="J332" s="122">
        <f>J336</f>
        <v>21.12</v>
      </c>
      <c r="K332" s="1" t="s">
        <v>269</v>
      </c>
    </row>
    <row r="333" spans="1:85" s="1" customFormat="1" ht="14.25" customHeight="1" x14ac:dyDescent="0.2">
      <c r="A333" s="248"/>
      <c r="B333" s="249"/>
      <c r="C333" s="242"/>
      <c r="D333" s="242" t="s">
        <v>43</v>
      </c>
      <c r="E333" s="242" t="s">
        <v>44</v>
      </c>
      <c r="F333" s="230" t="s">
        <v>0</v>
      </c>
      <c r="G333" s="230"/>
      <c r="H333" s="230"/>
      <c r="I333" s="230"/>
      <c r="J333" s="234" t="s">
        <v>310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</row>
    <row r="334" spans="1:85" s="1" customFormat="1" ht="14.25" customHeight="1" x14ac:dyDescent="0.2">
      <c r="A334" s="248"/>
      <c r="B334" s="249"/>
      <c r="C334" s="242"/>
      <c r="D334" s="242"/>
      <c r="E334" s="242"/>
      <c r="F334" s="231"/>
      <c r="G334" s="231"/>
      <c r="H334" s="231"/>
      <c r="I334" s="231"/>
      <c r="J334" s="234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</row>
    <row r="335" spans="1:85" s="1" customFormat="1" ht="15" x14ac:dyDescent="0.2">
      <c r="A335" s="243" t="s">
        <v>319</v>
      </c>
      <c r="B335" s="244"/>
      <c r="C335" s="9" t="s">
        <v>303</v>
      </c>
      <c r="D335" s="4">
        <v>0.6</v>
      </c>
      <c r="E335" s="4">
        <v>0.55000000000000004</v>
      </c>
      <c r="F335" s="4">
        <f>16*4</f>
        <v>64</v>
      </c>
      <c r="G335" s="3"/>
      <c r="H335" s="3"/>
      <c r="I335" s="3"/>
      <c r="J335" s="123">
        <f>PRODUCT(D335:I335)</f>
        <v>21.12</v>
      </c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</row>
    <row r="336" spans="1:85" s="1" customFormat="1" ht="15" x14ac:dyDescent="0.25">
      <c r="A336" s="245" t="s">
        <v>1</v>
      </c>
      <c r="B336" s="246"/>
      <c r="C336" s="246"/>
      <c r="D336" s="246"/>
      <c r="E336" s="246"/>
      <c r="F336" s="246"/>
      <c r="G336" s="246"/>
      <c r="H336" s="246"/>
      <c r="I336" s="247"/>
      <c r="J336" s="125">
        <f>ROUND(SUM(J335:J335),2)</f>
        <v>21.12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</row>
    <row r="337" spans="1:85" s="1" customFormat="1" ht="15" x14ac:dyDescent="0.25">
      <c r="A337" s="127"/>
      <c r="B337" s="8"/>
      <c r="C337" s="8"/>
      <c r="D337" s="8"/>
      <c r="E337" s="8"/>
      <c r="F337" s="8"/>
      <c r="G337" s="8"/>
      <c r="H337" s="8"/>
      <c r="I337" s="12"/>
      <c r="J337" s="13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</row>
    <row r="338" spans="1:85" s="1" customFormat="1" ht="49.7" customHeight="1" x14ac:dyDescent="0.2">
      <c r="A338" s="121" t="s">
        <v>231</v>
      </c>
      <c r="B338" s="40" t="s">
        <v>16</v>
      </c>
      <c r="C338" s="226" t="str">
        <f>VLOOKUP(A338,ORÇAMENTO!B:K,4,FALSE)</f>
        <v>FABRICAÇÃO, MONTAGEM E DESMONTAGEM DE FÔRMA PARA VIGA BALDRAME, EM CHAPA DE MADEIRA COMPENSADA RESINADA, E=17 MM, 4 UTILIZAÇÕES. AF_01/2024</v>
      </c>
      <c r="D338" s="227"/>
      <c r="E338" s="227"/>
      <c r="F338" s="227"/>
      <c r="G338" s="227"/>
      <c r="H338" s="41" t="str">
        <f>VLOOKUP(A338,ORÇAMENTO!B:K,2,FALSE)</f>
        <v>SINAPI</v>
      </c>
      <c r="I338" s="41" t="str">
        <f>VLOOKUP(A338,ORÇAMENTO!B:K,5,FALSE)</f>
        <v>M2</v>
      </c>
      <c r="J338" s="122">
        <f>J345</f>
        <v>49.97</v>
      </c>
      <c r="K338" s="1" t="s">
        <v>269</v>
      </c>
    </row>
    <row r="339" spans="1:85" s="1" customFormat="1" ht="14.25" customHeight="1" x14ac:dyDescent="0.2">
      <c r="A339" s="248"/>
      <c r="B339" s="249"/>
      <c r="C339" s="242"/>
      <c r="D339" s="242" t="s">
        <v>43</v>
      </c>
      <c r="E339" s="242" t="s">
        <v>44</v>
      </c>
      <c r="F339" s="230" t="s">
        <v>0</v>
      </c>
      <c r="G339" s="230"/>
      <c r="H339" s="230"/>
      <c r="I339" s="230"/>
      <c r="J339" s="234" t="s">
        <v>310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</row>
    <row r="340" spans="1:85" s="1" customFormat="1" ht="14.25" customHeight="1" x14ac:dyDescent="0.2">
      <c r="A340" s="248"/>
      <c r="B340" s="249"/>
      <c r="C340" s="242"/>
      <c r="D340" s="242"/>
      <c r="E340" s="242"/>
      <c r="F340" s="231"/>
      <c r="G340" s="231"/>
      <c r="H340" s="231"/>
      <c r="I340" s="231"/>
      <c r="J340" s="234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</row>
    <row r="341" spans="1:85" s="1" customFormat="1" ht="15" x14ac:dyDescent="0.2">
      <c r="A341" s="243" t="s">
        <v>311</v>
      </c>
      <c r="B341" s="244"/>
      <c r="C341" s="9"/>
      <c r="D341" s="4">
        <f>1.48+0.38+1.48+0.38</f>
        <v>3.7199999999999998</v>
      </c>
      <c r="E341" s="4">
        <v>0.2</v>
      </c>
      <c r="F341" s="4">
        <v>8</v>
      </c>
      <c r="G341" s="3"/>
      <c r="H341" s="3"/>
      <c r="I341" s="3"/>
      <c r="J341" s="123">
        <f>PRODUCT(D341:I341)</f>
        <v>5.952</v>
      </c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</row>
    <row r="342" spans="1:85" s="1" customFormat="1" ht="15" x14ac:dyDescent="0.2">
      <c r="A342" s="243" t="s">
        <v>312</v>
      </c>
      <c r="B342" s="244"/>
      <c r="C342" s="9"/>
      <c r="D342" s="4">
        <f>5.78+0.19+5.78+0.19</f>
        <v>11.94</v>
      </c>
      <c r="E342" s="4">
        <v>0.3</v>
      </c>
      <c r="F342" s="4">
        <v>4</v>
      </c>
      <c r="G342" s="3"/>
      <c r="H342" s="3"/>
      <c r="I342" s="3"/>
      <c r="J342" s="123">
        <f t="shared" ref="J342:J343" si="28">PRODUCT(D342:I342)</f>
        <v>14.327999999999999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</row>
    <row r="343" spans="1:85" s="1" customFormat="1" ht="15" x14ac:dyDescent="0.2">
      <c r="A343" s="243" t="s">
        <v>313</v>
      </c>
      <c r="B343" s="244"/>
      <c r="C343" s="9"/>
      <c r="D343" s="4">
        <f>5.82+0.19+5.82+0.19</f>
        <v>12.020000000000001</v>
      </c>
      <c r="E343" s="4">
        <v>0.3</v>
      </c>
      <c r="F343" s="4">
        <v>4</v>
      </c>
      <c r="G343" s="3"/>
      <c r="H343" s="3"/>
      <c r="I343" s="3"/>
      <c r="J343" s="123">
        <f t="shared" si="28"/>
        <v>14.424000000000001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</row>
    <row r="344" spans="1:85" s="1" customFormat="1" ht="15" x14ac:dyDescent="0.2">
      <c r="A344" s="243" t="s">
        <v>314</v>
      </c>
      <c r="B344" s="244"/>
      <c r="C344" s="9"/>
      <c r="D344" s="4">
        <f>6.17+0.19+6.17+0.19</f>
        <v>12.72</v>
      </c>
      <c r="E344" s="4">
        <v>0.3</v>
      </c>
      <c r="F344" s="4">
        <v>4</v>
      </c>
      <c r="G344" s="3"/>
      <c r="H344" s="3"/>
      <c r="I344" s="3"/>
      <c r="J344" s="123">
        <f t="shared" ref="J344" si="29">PRODUCT(D344:I344)</f>
        <v>15.263999999999999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</row>
    <row r="345" spans="1:85" s="1" customFormat="1" ht="15" x14ac:dyDescent="0.25">
      <c r="A345" s="245" t="s">
        <v>1</v>
      </c>
      <c r="B345" s="246"/>
      <c r="C345" s="246"/>
      <c r="D345" s="246"/>
      <c r="E345" s="246"/>
      <c r="F345" s="246"/>
      <c r="G345" s="246"/>
      <c r="H345" s="246"/>
      <c r="I345" s="247"/>
      <c r="J345" s="125">
        <f>ROUND(SUM(J341:J344),2)</f>
        <v>49.97</v>
      </c>
      <c r="K345" s="2"/>
      <c r="L345" s="2"/>
      <c r="M345" s="5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</row>
    <row r="346" spans="1:85" s="1" customFormat="1" ht="15" x14ac:dyDescent="0.25">
      <c r="A346" s="127"/>
      <c r="B346" s="8"/>
      <c r="C346" s="8"/>
      <c r="D346" s="8"/>
      <c r="E346" s="8"/>
      <c r="F346" s="8"/>
      <c r="G346" s="8"/>
      <c r="H346" s="8"/>
      <c r="I346" s="12"/>
      <c r="J346" s="13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</row>
    <row r="347" spans="1:85" s="1" customFormat="1" ht="49.7" customHeight="1" x14ac:dyDescent="0.2">
      <c r="A347" s="121" t="s">
        <v>232</v>
      </c>
      <c r="B347" s="40" t="s">
        <v>16</v>
      </c>
      <c r="C347" s="226" t="str">
        <f>VLOOKUP(A347,ORÇAMENTO!B:K,4,FALSE)</f>
        <v>FÔRMA E DESFORMA PARA PILAR COM CHAPA DE COMPENSADO PLASTIFICADO, ESP. 14MM, REAPROVEITAMENTO (5X), EXCLUSIVE ESCORAMENTO</v>
      </c>
      <c r="D347" s="227"/>
      <c r="E347" s="227"/>
      <c r="F347" s="227"/>
      <c r="G347" s="227"/>
      <c r="H347" s="41" t="str">
        <f>VLOOKUP(A347,ORÇAMENTO!B:K,2,FALSE)</f>
        <v>SETOP</v>
      </c>
      <c r="I347" s="41" t="str">
        <f>VLOOKUP(A347,ORÇAMENTO!B:K,5,FALSE)</f>
        <v>m2</v>
      </c>
      <c r="J347" s="122">
        <f>J351</f>
        <v>16.420000000000002</v>
      </c>
      <c r="K347" s="1" t="s">
        <v>269</v>
      </c>
    </row>
    <row r="348" spans="1:85" s="1" customFormat="1" ht="14.25" customHeight="1" x14ac:dyDescent="0.2">
      <c r="A348" s="248"/>
      <c r="B348" s="249"/>
      <c r="C348" s="242"/>
      <c r="D348" s="242" t="s">
        <v>43</v>
      </c>
      <c r="E348" s="242" t="s">
        <v>44</v>
      </c>
      <c r="F348" s="230" t="s">
        <v>0</v>
      </c>
      <c r="G348" s="230"/>
      <c r="H348" s="230"/>
      <c r="I348" s="230"/>
      <c r="J348" s="234" t="s">
        <v>310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</row>
    <row r="349" spans="1:85" s="1" customFormat="1" ht="14.25" customHeight="1" x14ac:dyDescent="0.2">
      <c r="A349" s="248"/>
      <c r="B349" s="249"/>
      <c r="C349" s="242"/>
      <c r="D349" s="242"/>
      <c r="E349" s="242"/>
      <c r="F349" s="231"/>
      <c r="G349" s="231"/>
      <c r="H349" s="231"/>
      <c r="I349" s="231"/>
      <c r="J349" s="23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</row>
    <row r="350" spans="1:85" s="1" customFormat="1" ht="15" x14ac:dyDescent="0.2">
      <c r="A350" s="243" t="s">
        <v>315</v>
      </c>
      <c r="B350" s="244"/>
      <c r="C350" s="9"/>
      <c r="D350" s="4">
        <f>0.19+0.38+0.19+0.38</f>
        <v>1.1400000000000001</v>
      </c>
      <c r="E350" s="4">
        <v>0.9</v>
      </c>
      <c r="F350" s="4">
        <v>16</v>
      </c>
      <c r="G350" s="3"/>
      <c r="H350" s="3"/>
      <c r="I350" s="3"/>
      <c r="J350" s="123">
        <f>PRODUCT(D350:I350)</f>
        <v>16.416000000000004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</row>
    <row r="351" spans="1:85" s="1" customFormat="1" ht="15" x14ac:dyDescent="0.25">
      <c r="A351" s="245" t="s">
        <v>1</v>
      </c>
      <c r="B351" s="246"/>
      <c r="C351" s="246"/>
      <c r="D351" s="246"/>
      <c r="E351" s="246"/>
      <c r="F351" s="246"/>
      <c r="G351" s="246"/>
      <c r="H351" s="246"/>
      <c r="I351" s="247"/>
      <c r="J351" s="125">
        <f>ROUND(SUM(J350:J350),2)</f>
        <v>16.420000000000002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</row>
    <row r="352" spans="1:85" s="1" customFormat="1" ht="15" x14ac:dyDescent="0.25">
      <c r="A352" s="127"/>
      <c r="B352" s="8"/>
      <c r="C352" s="8"/>
      <c r="D352" s="8"/>
      <c r="E352" s="8"/>
      <c r="F352" s="8"/>
      <c r="G352" s="8"/>
      <c r="H352" s="8"/>
      <c r="I352" s="12"/>
      <c r="J352" s="13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</row>
    <row r="353" spans="1:85" s="1" customFormat="1" ht="49.7" customHeight="1" x14ac:dyDescent="0.2">
      <c r="A353" s="121" t="s">
        <v>233</v>
      </c>
      <c r="B353" s="40" t="s">
        <v>16</v>
      </c>
      <c r="C353" s="226" t="str">
        <f>VLOOKUP(A353,ORÇAMENTO!B:K,4,FALSE)</f>
        <v>CORTE E DOBRA DE AÇO CA-60, DIÂMETRO DE 5,0 MM. AF_06/2022</v>
      </c>
      <c r="D353" s="227"/>
      <c r="E353" s="227"/>
      <c r="F353" s="227"/>
      <c r="G353" s="227"/>
      <c r="H353" s="41" t="str">
        <f>VLOOKUP(A353,ORÇAMENTO!B:K,2,FALSE)</f>
        <v>SINAPI</v>
      </c>
      <c r="I353" s="41" t="str">
        <f>VLOOKUP(A353,ORÇAMENTO!B:K,5,FALSE)</f>
        <v>KG</v>
      </c>
      <c r="J353" s="122">
        <f>J357</f>
        <v>188.6</v>
      </c>
      <c r="K353" s="1" t="s">
        <v>269</v>
      </c>
    </row>
    <row r="354" spans="1:85" s="1" customFormat="1" ht="14.25" customHeight="1" x14ac:dyDescent="0.2">
      <c r="A354" s="248"/>
      <c r="B354" s="249"/>
      <c r="C354" s="242"/>
      <c r="D354" s="242" t="s">
        <v>317</v>
      </c>
      <c r="E354" s="230" t="s">
        <v>0</v>
      </c>
      <c r="F354" s="230"/>
      <c r="G354" s="230"/>
      <c r="H354" s="230"/>
      <c r="I354" s="230"/>
      <c r="J354" s="234" t="s">
        <v>318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</row>
    <row r="355" spans="1:85" s="1" customFormat="1" ht="14.25" customHeight="1" x14ac:dyDescent="0.2">
      <c r="A355" s="248"/>
      <c r="B355" s="249"/>
      <c r="C355" s="242"/>
      <c r="D355" s="242"/>
      <c r="E355" s="231"/>
      <c r="F355" s="231"/>
      <c r="G355" s="231"/>
      <c r="H355" s="231"/>
      <c r="I355" s="231"/>
      <c r="J355" s="23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</row>
    <row r="356" spans="1:85" s="1" customFormat="1" ht="15" x14ac:dyDescent="0.2">
      <c r="A356" s="243"/>
      <c r="B356" s="244"/>
      <c r="C356" s="9" t="s">
        <v>316</v>
      </c>
      <c r="D356" s="4">
        <v>94.3</v>
      </c>
      <c r="E356" s="4">
        <v>2</v>
      </c>
      <c r="F356" s="3"/>
      <c r="G356" s="3"/>
      <c r="H356" s="3"/>
      <c r="I356" s="3"/>
      <c r="J356" s="123">
        <f>PRODUCT(D356:I356)</f>
        <v>188.6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</row>
    <row r="357" spans="1:85" s="1" customFormat="1" ht="15" x14ac:dyDescent="0.25">
      <c r="A357" s="245" t="s">
        <v>1</v>
      </c>
      <c r="B357" s="246"/>
      <c r="C357" s="246"/>
      <c r="D357" s="246"/>
      <c r="E357" s="246"/>
      <c r="F357" s="246"/>
      <c r="G357" s="246"/>
      <c r="H357" s="246"/>
      <c r="I357" s="247"/>
      <c r="J357" s="125">
        <f>ROUND(SUM(J356:J356),2)</f>
        <v>188.6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</row>
    <row r="358" spans="1:85" s="1" customFormat="1" ht="15" x14ac:dyDescent="0.25">
      <c r="A358" s="127"/>
      <c r="B358" s="8"/>
      <c r="C358" s="8"/>
      <c r="D358" s="8"/>
      <c r="E358" s="8"/>
      <c r="F358" s="8"/>
      <c r="G358" s="8"/>
      <c r="H358" s="8"/>
      <c r="I358" s="12"/>
      <c r="J358" s="13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</row>
    <row r="359" spans="1:85" s="1" customFormat="1" ht="49.7" customHeight="1" x14ac:dyDescent="0.2">
      <c r="A359" s="121" t="s">
        <v>234</v>
      </c>
      <c r="B359" s="40" t="s">
        <v>16</v>
      </c>
      <c r="C359" s="226" t="str">
        <f>VLOOKUP(A359,ORÇAMENTO!B:K,4,FALSE)</f>
        <v>CORTE E DOBRA DE AÇO CA-50, DIÂMETRO DE 6,3 MM. AF_06/2022</v>
      </c>
      <c r="D359" s="227"/>
      <c r="E359" s="227"/>
      <c r="F359" s="227"/>
      <c r="G359" s="227"/>
      <c r="H359" s="41" t="str">
        <f>VLOOKUP(A359,ORÇAMENTO!B:K,2,FALSE)</f>
        <v>SINAPI</v>
      </c>
      <c r="I359" s="41" t="str">
        <f>VLOOKUP(A359,ORÇAMENTO!B:K,5,FALSE)</f>
        <v>KG</v>
      </c>
      <c r="J359" s="122">
        <f>J363</f>
        <v>173.6</v>
      </c>
      <c r="K359" s="1" t="s">
        <v>269</v>
      </c>
    </row>
    <row r="360" spans="1:85" s="1" customFormat="1" ht="14.25" customHeight="1" x14ac:dyDescent="0.2">
      <c r="A360" s="248"/>
      <c r="B360" s="249"/>
      <c r="C360" s="242"/>
      <c r="D360" s="242" t="s">
        <v>317</v>
      </c>
      <c r="E360" s="230" t="s">
        <v>0</v>
      </c>
      <c r="F360" s="230"/>
      <c r="G360" s="230"/>
      <c r="H360" s="230"/>
      <c r="I360" s="230"/>
      <c r="J360" s="234" t="s">
        <v>318</v>
      </c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</row>
    <row r="361" spans="1:85" s="1" customFormat="1" ht="14.25" customHeight="1" x14ac:dyDescent="0.2">
      <c r="A361" s="248"/>
      <c r="B361" s="249"/>
      <c r="C361" s="242"/>
      <c r="D361" s="242"/>
      <c r="E361" s="231"/>
      <c r="F361" s="231"/>
      <c r="G361" s="231"/>
      <c r="H361" s="231"/>
      <c r="I361" s="231"/>
      <c r="J361" s="23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</row>
    <row r="362" spans="1:85" s="1" customFormat="1" ht="15" x14ac:dyDescent="0.2">
      <c r="A362" s="243"/>
      <c r="B362" s="244"/>
      <c r="C362" s="9" t="s">
        <v>316</v>
      </c>
      <c r="D362" s="4">
        <v>86.8</v>
      </c>
      <c r="E362" s="4">
        <v>2</v>
      </c>
      <c r="F362" s="3"/>
      <c r="G362" s="3"/>
      <c r="H362" s="3"/>
      <c r="I362" s="3"/>
      <c r="J362" s="123">
        <f>PRODUCT(D362:I362)</f>
        <v>173.6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</row>
    <row r="363" spans="1:85" s="1" customFormat="1" ht="15" x14ac:dyDescent="0.25">
      <c r="A363" s="245" t="s">
        <v>1</v>
      </c>
      <c r="B363" s="246"/>
      <c r="C363" s="246"/>
      <c r="D363" s="246"/>
      <c r="E363" s="246"/>
      <c r="F363" s="246"/>
      <c r="G363" s="246"/>
      <c r="H363" s="246"/>
      <c r="I363" s="247"/>
      <c r="J363" s="125">
        <f>ROUND(SUM(J362:J362),2)</f>
        <v>173.6</v>
      </c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</row>
    <row r="364" spans="1:85" s="1" customFormat="1" ht="15" x14ac:dyDescent="0.25">
      <c r="A364" s="127"/>
      <c r="B364" s="8"/>
      <c r="C364" s="8"/>
      <c r="D364" s="8"/>
      <c r="E364" s="8"/>
      <c r="F364" s="8"/>
      <c r="G364" s="8"/>
      <c r="H364" s="8"/>
      <c r="I364" s="12"/>
      <c r="J364" s="13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</row>
    <row r="365" spans="1:85" s="1" customFormat="1" ht="49.7" customHeight="1" x14ac:dyDescent="0.2">
      <c r="A365" s="121" t="s">
        <v>235</v>
      </c>
      <c r="B365" s="40" t="s">
        <v>16</v>
      </c>
      <c r="C365" s="226" t="str">
        <f>VLOOKUP(A365,ORÇAMENTO!B:K,4,FALSE)</f>
        <v>CORTE E DOBRA DE AÇO CA-50, DIÂMETRO DE 8,0 MM. AF_06/2022</v>
      </c>
      <c r="D365" s="227"/>
      <c r="E365" s="227"/>
      <c r="F365" s="227"/>
      <c r="G365" s="227"/>
      <c r="H365" s="41" t="str">
        <f>VLOOKUP(A365,ORÇAMENTO!B:K,2,FALSE)</f>
        <v>SINAPI</v>
      </c>
      <c r="I365" s="41" t="str">
        <f>VLOOKUP(A365,ORÇAMENTO!B:K,5,FALSE)</f>
        <v>KG</v>
      </c>
      <c r="J365" s="122">
        <f>J369</f>
        <v>19.399999999999999</v>
      </c>
      <c r="K365" s="1" t="s">
        <v>269</v>
      </c>
    </row>
    <row r="366" spans="1:85" s="1" customFormat="1" ht="14.25" customHeight="1" x14ac:dyDescent="0.2">
      <c r="A366" s="248"/>
      <c r="B366" s="249"/>
      <c r="C366" s="242"/>
      <c r="D366" s="242" t="s">
        <v>317</v>
      </c>
      <c r="E366" s="230" t="s">
        <v>0</v>
      </c>
      <c r="F366" s="230"/>
      <c r="G366" s="230"/>
      <c r="H366" s="230"/>
      <c r="I366" s="230"/>
      <c r="J366" s="234" t="s">
        <v>318</v>
      </c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</row>
    <row r="367" spans="1:85" s="1" customFormat="1" ht="14.25" customHeight="1" x14ac:dyDescent="0.2">
      <c r="A367" s="248"/>
      <c r="B367" s="249"/>
      <c r="C367" s="242"/>
      <c r="D367" s="242"/>
      <c r="E367" s="231"/>
      <c r="F367" s="231"/>
      <c r="G367" s="231"/>
      <c r="H367" s="231"/>
      <c r="I367" s="231"/>
      <c r="J367" s="23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</row>
    <row r="368" spans="1:85" s="1" customFormat="1" ht="15" x14ac:dyDescent="0.2">
      <c r="A368" s="243"/>
      <c r="B368" s="244"/>
      <c r="C368" s="9" t="s">
        <v>316</v>
      </c>
      <c r="D368" s="4">
        <v>9.6999999999999993</v>
      </c>
      <c r="E368" s="4">
        <v>2</v>
      </c>
      <c r="F368" s="3"/>
      <c r="G368" s="3"/>
      <c r="H368" s="3"/>
      <c r="I368" s="3"/>
      <c r="J368" s="123">
        <f>PRODUCT(D368:I368)</f>
        <v>19.399999999999999</v>
      </c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</row>
    <row r="369" spans="1:85" s="1" customFormat="1" ht="15" x14ac:dyDescent="0.25">
      <c r="A369" s="245" t="s">
        <v>1</v>
      </c>
      <c r="B369" s="246"/>
      <c r="C369" s="246"/>
      <c r="D369" s="246"/>
      <c r="E369" s="246"/>
      <c r="F369" s="246"/>
      <c r="G369" s="246"/>
      <c r="H369" s="246"/>
      <c r="I369" s="247"/>
      <c r="J369" s="125">
        <f>ROUND(SUM(J368:J368),2)</f>
        <v>19.399999999999999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</row>
    <row r="370" spans="1:85" s="1" customFormat="1" ht="15" x14ac:dyDescent="0.25">
      <c r="A370" s="127"/>
      <c r="B370" s="8"/>
      <c r="C370" s="8"/>
      <c r="D370" s="8"/>
      <c r="E370" s="8"/>
      <c r="F370" s="8"/>
      <c r="G370" s="8"/>
      <c r="H370" s="8"/>
      <c r="I370" s="12"/>
      <c r="J370" s="13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</row>
    <row r="371" spans="1:85" s="1" customFormat="1" ht="49.7" customHeight="1" x14ac:dyDescent="0.2">
      <c r="A371" s="121" t="s">
        <v>236</v>
      </c>
      <c r="B371" s="40" t="s">
        <v>16</v>
      </c>
      <c r="C371" s="226" t="str">
        <f>VLOOKUP(A371,ORÇAMENTO!B:K,4,FALSE)</f>
        <v>CORTE E DOBRA DE AÇO CA-50, DIÂMETRO DE 10,0 MM. AF_06/2022</v>
      </c>
      <c r="D371" s="227"/>
      <c r="E371" s="227"/>
      <c r="F371" s="227"/>
      <c r="G371" s="227"/>
      <c r="H371" s="41" t="str">
        <f>VLOOKUP(A371,ORÇAMENTO!B:K,2,FALSE)</f>
        <v>SINAPI</v>
      </c>
      <c r="I371" s="41" t="str">
        <f>VLOOKUP(A371,ORÇAMENTO!B:K,5,FALSE)</f>
        <v>KG</v>
      </c>
      <c r="J371" s="122">
        <f>J375</f>
        <v>222.2</v>
      </c>
      <c r="K371" s="1" t="s">
        <v>269</v>
      </c>
    </row>
    <row r="372" spans="1:85" s="1" customFormat="1" ht="14.25" customHeight="1" x14ac:dyDescent="0.2">
      <c r="A372" s="248"/>
      <c r="B372" s="249"/>
      <c r="C372" s="242"/>
      <c r="D372" s="242" t="s">
        <v>317</v>
      </c>
      <c r="E372" s="230" t="s">
        <v>0</v>
      </c>
      <c r="F372" s="230"/>
      <c r="G372" s="230"/>
      <c r="H372" s="230"/>
      <c r="I372" s="230"/>
      <c r="J372" s="234" t="s">
        <v>318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</row>
    <row r="373" spans="1:85" s="1" customFormat="1" ht="14.25" customHeight="1" x14ac:dyDescent="0.2">
      <c r="A373" s="248"/>
      <c r="B373" s="249"/>
      <c r="C373" s="242"/>
      <c r="D373" s="242"/>
      <c r="E373" s="231"/>
      <c r="F373" s="231"/>
      <c r="G373" s="231"/>
      <c r="H373" s="231"/>
      <c r="I373" s="231"/>
      <c r="J373" s="234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</row>
    <row r="374" spans="1:85" s="1" customFormat="1" ht="15" x14ac:dyDescent="0.2">
      <c r="A374" s="243"/>
      <c r="B374" s="244"/>
      <c r="C374" s="9" t="s">
        <v>316</v>
      </c>
      <c r="D374" s="4">
        <v>111.1</v>
      </c>
      <c r="E374" s="4">
        <v>2</v>
      </c>
      <c r="F374" s="3"/>
      <c r="G374" s="3"/>
      <c r="H374" s="3"/>
      <c r="I374" s="3"/>
      <c r="J374" s="123">
        <f>PRODUCT(D374:I374)</f>
        <v>222.2</v>
      </c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</row>
    <row r="375" spans="1:85" s="1" customFormat="1" ht="15" x14ac:dyDescent="0.25">
      <c r="A375" s="245" t="s">
        <v>1</v>
      </c>
      <c r="B375" s="246"/>
      <c r="C375" s="246"/>
      <c r="D375" s="246"/>
      <c r="E375" s="246"/>
      <c r="F375" s="246"/>
      <c r="G375" s="246"/>
      <c r="H375" s="246"/>
      <c r="I375" s="247"/>
      <c r="J375" s="125">
        <f>ROUND(SUM(J374:J374),2)</f>
        <v>222.2</v>
      </c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</row>
    <row r="376" spans="1:85" s="1" customFormat="1" ht="15" x14ac:dyDescent="0.25">
      <c r="A376" s="127"/>
      <c r="B376" s="8"/>
      <c r="C376" s="8"/>
      <c r="D376" s="8"/>
      <c r="E376" s="8"/>
      <c r="F376" s="8"/>
      <c r="G376" s="8"/>
      <c r="H376" s="8"/>
      <c r="I376" s="12"/>
      <c r="J376" s="136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</row>
    <row r="377" spans="1:85" s="1" customFormat="1" ht="49.7" customHeight="1" x14ac:dyDescent="0.2">
      <c r="A377" s="121" t="s">
        <v>237</v>
      </c>
      <c r="B377" s="40" t="s">
        <v>16</v>
      </c>
      <c r="C377" s="226" t="str">
        <f>VLOOKUP(A377,ORÇAMENTO!B:K,4,FALSE)</f>
        <v>CORTE E DOBRA DE AÇO CA-50, DIÂMETRO DE 12,5 MM. AF_06/2022</v>
      </c>
      <c r="D377" s="227"/>
      <c r="E377" s="227"/>
      <c r="F377" s="227"/>
      <c r="G377" s="227"/>
      <c r="H377" s="41" t="str">
        <f>VLOOKUP(A377,ORÇAMENTO!B:K,2,FALSE)</f>
        <v>SINAPI</v>
      </c>
      <c r="I377" s="41" t="str">
        <f>VLOOKUP(A377,ORÇAMENTO!B:K,5,FALSE)</f>
        <v>KG</v>
      </c>
      <c r="J377" s="122">
        <f>J381</f>
        <v>54</v>
      </c>
      <c r="K377" s="1" t="s">
        <v>269</v>
      </c>
    </row>
    <row r="378" spans="1:85" s="1" customFormat="1" ht="14.25" customHeight="1" x14ac:dyDescent="0.2">
      <c r="A378" s="248"/>
      <c r="B378" s="249"/>
      <c r="C378" s="242"/>
      <c r="D378" s="242" t="s">
        <v>317</v>
      </c>
      <c r="E378" s="230" t="s">
        <v>0</v>
      </c>
      <c r="F378" s="230"/>
      <c r="G378" s="230"/>
      <c r="H378" s="230"/>
      <c r="I378" s="230"/>
      <c r="J378" s="234" t="s">
        <v>318</v>
      </c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</row>
    <row r="379" spans="1:85" s="1" customFormat="1" ht="14.25" customHeight="1" x14ac:dyDescent="0.2">
      <c r="A379" s="248"/>
      <c r="B379" s="249"/>
      <c r="C379" s="242"/>
      <c r="D379" s="242"/>
      <c r="E379" s="231"/>
      <c r="F379" s="231"/>
      <c r="G379" s="231"/>
      <c r="H379" s="231"/>
      <c r="I379" s="231"/>
      <c r="J379" s="234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</row>
    <row r="380" spans="1:85" s="1" customFormat="1" ht="15" x14ac:dyDescent="0.2">
      <c r="A380" s="243"/>
      <c r="B380" s="244"/>
      <c r="C380" s="9" t="s">
        <v>316</v>
      </c>
      <c r="D380" s="4">
        <v>27</v>
      </c>
      <c r="E380" s="4">
        <v>2</v>
      </c>
      <c r="F380" s="3"/>
      <c r="G380" s="3"/>
      <c r="H380" s="3"/>
      <c r="I380" s="3"/>
      <c r="J380" s="123">
        <f>PRODUCT(D380:I380)</f>
        <v>54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</row>
    <row r="381" spans="1:85" s="1" customFormat="1" ht="15" x14ac:dyDescent="0.25">
      <c r="A381" s="245" t="s">
        <v>1</v>
      </c>
      <c r="B381" s="246"/>
      <c r="C381" s="246"/>
      <c r="D381" s="246"/>
      <c r="E381" s="246"/>
      <c r="F381" s="246"/>
      <c r="G381" s="246"/>
      <c r="H381" s="246"/>
      <c r="I381" s="247"/>
      <c r="J381" s="125">
        <f>ROUND(SUM(J380:J380),2)</f>
        <v>54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</row>
    <row r="382" spans="1:85" s="1" customFormat="1" ht="15" x14ac:dyDescent="0.25">
      <c r="A382" s="127"/>
      <c r="B382" s="8"/>
      <c r="C382" s="8"/>
      <c r="D382" s="8"/>
      <c r="E382" s="8"/>
      <c r="F382" s="8"/>
      <c r="G382" s="8"/>
      <c r="H382" s="8"/>
      <c r="I382" s="12"/>
      <c r="J382" s="136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</row>
    <row r="383" spans="1:85" s="1" customFormat="1" ht="49.7" customHeight="1" x14ac:dyDescent="0.2">
      <c r="A383" s="121" t="s">
        <v>238</v>
      </c>
      <c r="B383" s="40" t="s">
        <v>16</v>
      </c>
      <c r="C383" s="226" t="str">
        <f>VLOOKUP(A383,ORÇAMENTO!B:K,4,FALSE)</f>
        <v>FORNECIMENTO DE CONCRETO ESTRUTURAL, PREPARADO EM OBRA COM BETONEIRA, COM FCK 25MPA, INCLUSIVE LANÇAMENTO, ADENSAMENTO E ACABAMENTO (FUNDAÇÃO)</v>
      </c>
      <c r="D383" s="227"/>
      <c r="E383" s="227"/>
      <c r="F383" s="227"/>
      <c r="G383" s="227"/>
      <c r="H383" s="41" t="str">
        <f>VLOOKUP(A383,ORÇAMENTO!B:K,2,FALSE)</f>
        <v>SETOP</v>
      </c>
      <c r="I383" s="41" t="str">
        <f>VLOOKUP(A383,ORÇAMENTO!B:K,5,FALSE)</f>
        <v>m3</v>
      </c>
      <c r="J383" s="122">
        <f>J387</f>
        <v>16.5</v>
      </c>
      <c r="K383" s="1" t="s">
        <v>269</v>
      </c>
    </row>
    <row r="384" spans="1:85" s="1" customFormat="1" ht="14.25" customHeight="1" x14ac:dyDescent="0.2">
      <c r="A384" s="248"/>
      <c r="B384" s="249"/>
      <c r="C384" s="242"/>
      <c r="D384" s="242" t="s">
        <v>435</v>
      </c>
      <c r="E384" s="230" t="s">
        <v>0</v>
      </c>
      <c r="F384" s="230"/>
      <c r="G384" s="230"/>
      <c r="H384" s="230"/>
      <c r="I384" s="230"/>
      <c r="J384" s="234" t="s">
        <v>308</v>
      </c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</row>
    <row r="385" spans="1:85" s="1" customFormat="1" ht="14.25" customHeight="1" x14ac:dyDescent="0.2">
      <c r="A385" s="248"/>
      <c r="B385" s="249"/>
      <c r="C385" s="242"/>
      <c r="D385" s="242"/>
      <c r="E385" s="231"/>
      <c r="F385" s="231"/>
      <c r="G385" s="231"/>
      <c r="H385" s="231"/>
      <c r="I385" s="231"/>
      <c r="J385" s="234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</row>
    <row r="386" spans="1:85" s="1" customFormat="1" ht="15" x14ac:dyDescent="0.2">
      <c r="A386" s="243"/>
      <c r="B386" s="244"/>
      <c r="C386" s="9" t="s">
        <v>316</v>
      </c>
      <c r="D386" s="4">
        <v>8.25</v>
      </c>
      <c r="E386" s="4">
        <v>2</v>
      </c>
      <c r="F386" s="3"/>
      <c r="G386" s="3"/>
      <c r="H386" s="3"/>
      <c r="I386" s="3"/>
      <c r="J386" s="123">
        <f>PRODUCT(D386:I386)</f>
        <v>16.5</v>
      </c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</row>
    <row r="387" spans="1:85" s="1" customFormat="1" ht="15" x14ac:dyDescent="0.25">
      <c r="A387" s="245" t="s">
        <v>1</v>
      </c>
      <c r="B387" s="246"/>
      <c r="C387" s="246"/>
      <c r="D387" s="246"/>
      <c r="E387" s="246"/>
      <c r="F387" s="246"/>
      <c r="G387" s="246"/>
      <c r="H387" s="246"/>
      <c r="I387" s="247"/>
      <c r="J387" s="125">
        <f>ROUND(SUM(J386:J386),2)</f>
        <v>16.5</v>
      </c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</row>
    <row r="388" spans="1:85" s="1" customFormat="1" ht="15" x14ac:dyDescent="0.25">
      <c r="A388" s="127"/>
      <c r="B388" s="8"/>
      <c r="C388" s="8"/>
      <c r="D388" s="8"/>
      <c r="E388" s="8"/>
      <c r="F388" s="8"/>
      <c r="G388" s="8"/>
      <c r="H388" s="8"/>
      <c r="I388" s="12"/>
      <c r="J388" s="136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</row>
    <row r="389" spans="1:85" s="1" customFormat="1" ht="20.100000000000001" customHeight="1" x14ac:dyDescent="0.2">
      <c r="A389" s="118">
        <v>3</v>
      </c>
      <c r="B389" s="269" t="str">
        <f>VLOOKUP(A389,ORÇAMENTO!B:K,2,FALSE)</f>
        <v>CASA DE BOMBAS - QUEBRA</v>
      </c>
      <c r="C389" s="270"/>
      <c r="D389" s="270"/>
      <c r="E389" s="270"/>
      <c r="F389" s="270"/>
      <c r="G389" s="270"/>
      <c r="H389" s="270"/>
      <c r="I389" s="270"/>
      <c r="J389" s="271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</row>
    <row r="390" spans="1:85" s="1" customFormat="1" ht="15" x14ac:dyDescent="0.25">
      <c r="A390" s="127"/>
      <c r="B390" s="8"/>
      <c r="C390" s="11"/>
      <c r="D390" s="11"/>
      <c r="E390" s="11"/>
      <c r="F390" s="11"/>
      <c r="G390" s="11"/>
      <c r="H390" s="11"/>
      <c r="I390" s="11"/>
      <c r="J390" s="12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</row>
    <row r="391" spans="1:85" s="1" customFormat="1" ht="20.100000000000001" customHeight="1" x14ac:dyDescent="0.2">
      <c r="A391" s="129" t="s">
        <v>348</v>
      </c>
      <c r="B391" s="257" t="str">
        <f>VLOOKUP(A391,ORÇAMENTO!B:K,2,FALSE)</f>
        <v>DEMOLIÇÕES E REMOÇÕES</v>
      </c>
      <c r="C391" s="258"/>
      <c r="D391" s="258"/>
      <c r="E391" s="258"/>
      <c r="F391" s="258"/>
      <c r="G391" s="258"/>
      <c r="H391" s="258"/>
      <c r="I391" s="258"/>
      <c r="J391" s="259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</row>
    <row r="392" spans="1:85" s="1" customFormat="1" ht="15" x14ac:dyDescent="0.25">
      <c r="A392" s="119"/>
      <c r="B392" s="27"/>
      <c r="C392" s="27"/>
      <c r="D392" s="27"/>
      <c r="E392" s="27"/>
      <c r="F392" s="27"/>
      <c r="G392" s="27"/>
      <c r="H392" s="27"/>
      <c r="I392" s="27"/>
      <c r="J392" s="120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</row>
    <row r="393" spans="1:85" s="1" customFormat="1" ht="49.5" customHeight="1" x14ac:dyDescent="0.2">
      <c r="A393" s="121" t="s">
        <v>349</v>
      </c>
      <c r="B393" s="40" t="s">
        <v>16</v>
      </c>
      <c r="C393" s="226" t="str">
        <f>VLOOKUP(A393,ORÇAMENTO!B:K,4,FALSE)</f>
        <v>ESCARIFICAÇÃO MANUAL EM PEÇA DE CONCRETO, COM PROFUNDIDADE MÁXIMA DE ATÉ 3CM, INCLUSIVE LIMPEZA DA SEÇÃO ESCARIFICADA, TRANSPORTE E RETIRADA DO MATERIAL DEMOLIDO, EXCLUSIVE RECOMPOSIÇÃO EM ARGAMASSA OU CONCRETO</v>
      </c>
      <c r="D393" s="227"/>
      <c r="E393" s="227"/>
      <c r="F393" s="227"/>
      <c r="G393" s="227"/>
      <c r="H393" s="41" t="str">
        <f>VLOOKUP(A393,ORÇAMENTO!B:K,2,FALSE)</f>
        <v>SETOP</v>
      </c>
      <c r="I393" s="41" t="str">
        <f>VLOOKUP(A393,ORÇAMENTO!B:K,5,FALSE)</f>
        <v>m2</v>
      </c>
      <c r="J393" s="122">
        <f>J398</f>
        <v>3.57</v>
      </c>
      <c r="K393" s="1" t="s">
        <v>269</v>
      </c>
    </row>
    <row r="394" spans="1:85" s="1" customFormat="1" ht="14.25" customHeight="1" x14ac:dyDescent="0.2">
      <c r="A394" s="238"/>
      <c r="B394" s="239"/>
      <c r="C394" s="228"/>
      <c r="D394" s="228" t="s">
        <v>3</v>
      </c>
      <c r="E394" s="230" t="s">
        <v>0</v>
      </c>
      <c r="F394" s="232"/>
      <c r="G394" s="232"/>
      <c r="H394" s="230"/>
      <c r="I394" s="230"/>
      <c r="J394" s="234" t="s">
        <v>39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</row>
    <row r="395" spans="1:85" s="1" customFormat="1" ht="14.25" customHeight="1" x14ac:dyDescent="0.2">
      <c r="A395" s="240"/>
      <c r="B395" s="241"/>
      <c r="C395" s="229"/>
      <c r="D395" s="229"/>
      <c r="E395" s="231"/>
      <c r="F395" s="233"/>
      <c r="G395" s="233"/>
      <c r="H395" s="231"/>
      <c r="I395" s="231"/>
      <c r="J395" s="234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</row>
    <row r="396" spans="1:85" s="1" customFormat="1" ht="15" x14ac:dyDescent="0.2">
      <c r="A396" s="243" t="s">
        <v>402</v>
      </c>
      <c r="B396" s="244"/>
      <c r="C396" s="4"/>
      <c r="D396" s="4">
        <f>(0.3+0.2)*1</f>
        <v>0.5</v>
      </c>
      <c r="E396" s="7">
        <v>1</v>
      </c>
      <c r="F396" s="7"/>
      <c r="G396" s="7"/>
      <c r="H396" s="23"/>
      <c r="I396" s="23"/>
      <c r="J396" s="123">
        <f>PRODUCT(D396:I396)</f>
        <v>0.5</v>
      </c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</row>
    <row r="397" spans="1:85" s="1" customFormat="1" ht="15" x14ac:dyDescent="0.2">
      <c r="A397" s="243" t="s">
        <v>403</v>
      </c>
      <c r="B397" s="244"/>
      <c r="C397" s="4"/>
      <c r="D397" s="4">
        <v>3.07</v>
      </c>
      <c r="E397" s="7">
        <v>1</v>
      </c>
      <c r="F397" s="7"/>
      <c r="G397" s="7"/>
      <c r="H397" s="23"/>
      <c r="I397" s="23"/>
      <c r="J397" s="123">
        <f>PRODUCT(D397:I397)</f>
        <v>3.07</v>
      </c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</row>
    <row r="398" spans="1:85" s="1" customFormat="1" ht="15" x14ac:dyDescent="0.25">
      <c r="A398" s="235" t="s">
        <v>1</v>
      </c>
      <c r="B398" s="236"/>
      <c r="C398" s="236"/>
      <c r="D398" s="236"/>
      <c r="E398" s="236"/>
      <c r="F398" s="236"/>
      <c r="G398" s="236"/>
      <c r="H398" s="236"/>
      <c r="I398" s="237"/>
      <c r="J398" s="125">
        <f>ROUND(SUM(J396:J397),2)</f>
        <v>3.57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</row>
    <row r="399" spans="1:85" s="1" customFormat="1" ht="15" x14ac:dyDescent="0.25">
      <c r="A399" s="124"/>
      <c r="B399" s="25"/>
      <c r="C399" s="8"/>
      <c r="D399" s="8"/>
      <c r="E399" s="8"/>
      <c r="F399" s="8"/>
      <c r="G399" s="8"/>
      <c r="H399" s="5"/>
      <c r="I399" s="5"/>
      <c r="J399" s="126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</row>
    <row r="400" spans="1:85" s="1" customFormat="1" ht="49.7" customHeight="1" x14ac:dyDescent="0.2">
      <c r="A400" s="121" t="s">
        <v>350</v>
      </c>
      <c r="B400" s="40" t="s">
        <v>16</v>
      </c>
      <c r="C400" s="226" t="str">
        <f>VLOOKUP(A400,ORÇAMENTO!B:K,4,FALSE)</f>
        <v>DEMOLIÇÃO MANUAL DE REBOCO OU EMBOÇO, COM ESPESSURA DE ATÉ 55MM, INCLUSIVE AFASTAMENTO E EMPILHAMENTO, EXCLUSIVE TRANSPORTE E RETIRADA DO MATERIAL DEMOLIDO</v>
      </c>
      <c r="D400" s="227"/>
      <c r="E400" s="227"/>
      <c r="F400" s="227"/>
      <c r="G400" s="227"/>
      <c r="H400" s="41" t="str">
        <f>VLOOKUP(A400,ORÇAMENTO!B:K,2,FALSE)</f>
        <v>SETOP</v>
      </c>
      <c r="I400" s="41" t="str">
        <f>VLOOKUP(A400,ORÇAMENTO!B:K,5,FALSE)</f>
        <v>m2</v>
      </c>
      <c r="J400" s="122">
        <f>J404</f>
        <v>42.79</v>
      </c>
      <c r="K400" s="1" t="s">
        <v>269</v>
      </c>
    </row>
    <row r="401" spans="1:85" s="1" customFormat="1" ht="14.25" customHeight="1" x14ac:dyDescent="0.2">
      <c r="A401" s="238"/>
      <c r="B401" s="263"/>
      <c r="C401" s="232"/>
      <c r="D401" s="228" t="s">
        <v>44</v>
      </c>
      <c r="E401" s="230" t="s">
        <v>43</v>
      </c>
      <c r="F401" s="232" t="s">
        <v>0</v>
      </c>
      <c r="G401" s="232" t="s">
        <v>408</v>
      </c>
      <c r="H401" s="242"/>
      <c r="I401" s="230"/>
      <c r="J401" s="234" t="s">
        <v>39</v>
      </c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</row>
    <row r="402" spans="1:85" s="1" customFormat="1" ht="14.25" customHeight="1" x14ac:dyDescent="0.2">
      <c r="A402" s="264"/>
      <c r="B402" s="265"/>
      <c r="C402" s="233"/>
      <c r="D402" s="229"/>
      <c r="E402" s="231"/>
      <c r="F402" s="233"/>
      <c r="G402" s="233"/>
      <c r="H402" s="242"/>
      <c r="I402" s="231"/>
      <c r="J402" s="234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</row>
    <row r="403" spans="1:85" s="1" customFormat="1" ht="15" x14ac:dyDescent="0.2">
      <c r="A403" s="243" t="s">
        <v>270</v>
      </c>
      <c r="B403" s="244"/>
      <c r="C403" s="4" t="s">
        <v>404</v>
      </c>
      <c r="D403" s="7">
        <f>0.9+0.23+1.05</f>
        <v>2.1800000000000002</v>
      </c>
      <c r="E403" s="7">
        <v>10</v>
      </c>
      <c r="F403" s="7">
        <v>2</v>
      </c>
      <c r="G403" s="7">
        <v>0.81</v>
      </c>
      <c r="H403" s="24"/>
      <c r="I403" s="3"/>
      <c r="J403" s="123">
        <f>(D403*E403*F403)-G403</f>
        <v>42.79</v>
      </c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</row>
    <row r="404" spans="1:85" s="1" customFormat="1" ht="15" x14ac:dyDescent="0.25">
      <c r="A404" s="245" t="s">
        <v>1</v>
      </c>
      <c r="B404" s="246"/>
      <c r="C404" s="246"/>
      <c r="D404" s="246"/>
      <c r="E404" s="246"/>
      <c r="F404" s="246"/>
      <c r="G404" s="246"/>
      <c r="H404" s="246"/>
      <c r="I404" s="247"/>
      <c r="J404" s="125">
        <f>ROUND(SUM(J403:J403),2)</f>
        <v>42.79</v>
      </c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</row>
    <row r="405" spans="1:85" s="1" customFormat="1" ht="15" x14ac:dyDescent="0.25">
      <c r="A405" s="266"/>
      <c r="B405" s="267"/>
      <c r="C405" s="267"/>
      <c r="D405" s="267"/>
      <c r="E405" s="267"/>
      <c r="F405" s="267"/>
      <c r="G405" s="267"/>
      <c r="H405" s="267"/>
      <c r="I405" s="267"/>
      <c r="J405" s="26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</row>
    <row r="406" spans="1:85" s="1" customFormat="1" ht="49.7" customHeight="1" x14ac:dyDescent="0.2">
      <c r="A406" s="121" t="s">
        <v>351</v>
      </c>
      <c r="B406" s="40" t="s">
        <v>16</v>
      </c>
      <c r="C406" s="226" t="str">
        <f>VLOOKUP(A406,ORÇAMENTO!B:K,4,FALSE)</f>
        <v>REMOÇÃO DE JANELAS, DE FORMA MANUAL, SEM REAPROVEITAMENTO. AF_09/2023</v>
      </c>
      <c r="D406" s="227"/>
      <c r="E406" s="227"/>
      <c r="F406" s="227"/>
      <c r="G406" s="227"/>
      <c r="H406" s="41" t="str">
        <f>VLOOKUP(A406,ORÇAMENTO!B:K,2,FALSE)</f>
        <v>SINAPI</v>
      </c>
      <c r="I406" s="41" t="str">
        <f>VLOOKUP(A406,ORÇAMENTO!B:K,5,FALSE)</f>
        <v>M2</v>
      </c>
      <c r="J406" s="122">
        <f>J410</f>
        <v>4.8</v>
      </c>
      <c r="K406" s="1" t="s">
        <v>269</v>
      </c>
    </row>
    <row r="407" spans="1:85" s="1" customFormat="1" ht="14.25" customHeight="1" x14ac:dyDescent="0.2">
      <c r="A407" s="238"/>
      <c r="B407" s="239"/>
      <c r="C407" s="228"/>
      <c r="D407" s="228" t="s">
        <v>43</v>
      </c>
      <c r="E407" s="230" t="s">
        <v>44</v>
      </c>
      <c r="F407" s="232" t="s">
        <v>0</v>
      </c>
      <c r="G407" s="232"/>
      <c r="H407" s="230"/>
      <c r="I407" s="230"/>
      <c r="J407" s="234" t="s">
        <v>39</v>
      </c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</row>
    <row r="408" spans="1:85" s="1" customFormat="1" ht="14.25" customHeight="1" x14ac:dyDescent="0.2">
      <c r="A408" s="240"/>
      <c r="B408" s="241"/>
      <c r="C408" s="229"/>
      <c r="D408" s="229"/>
      <c r="E408" s="231"/>
      <c r="F408" s="233"/>
      <c r="G408" s="233"/>
      <c r="H408" s="231"/>
      <c r="I408" s="231"/>
      <c r="J408" s="234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</row>
    <row r="409" spans="1:85" s="1" customFormat="1" ht="15" x14ac:dyDescent="0.2">
      <c r="A409" s="243" t="s">
        <v>96</v>
      </c>
      <c r="B409" s="244"/>
      <c r="C409" s="9" t="s">
        <v>97</v>
      </c>
      <c r="D409" s="4">
        <v>2</v>
      </c>
      <c r="E409" s="7">
        <v>1.2</v>
      </c>
      <c r="F409" s="7">
        <v>2</v>
      </c>
      <c r="G409" s="7"/>
      <c r="H409" s="23"/>
      <c r="I409" s="23"/>
      <c r="J409" s="123">
        <f>PRODUCT(D409:I409)</f>
        <v>4.8</v>
      </c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</row>
    <row r="410" spans="1:85" s="1" customFormat="1" ht="15" x14ac:dyDescent="0.25">
      <c r="A410" s="235" t="s">
        <v>1</v>
      </c>
      <c r="B410" s="236"/>
      <c r="C410" s="236"/>
      <c r="D410" s="236"/>
      <c r="E410" s="236"/>
      <c r="F410" s="236"/>
      <c r="G410" s="236"/>
      <c r="H410" s="236"/>
      <c r="I410" s="237"/>
      <c r="J410" s="125">
        <f>ROUND(SUM(J409:J409),2)</f>
        <v>4.8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</row>
    <row r="411" spans="1:85" s="1" customFormat="1" ht="15" x14ac:dyDescent="0.25">
      <c r="A411" s="124"/>
      <c r="B411" s="25"/>
      <c r="C411" s="8"/>
      <c r="D411" s="8"/>
      <c r="E411" s="8"/>
      <c r="F411" s="8"/>
      <c r="G411" s="8"/>
      <c r="H411" s="5"/>
      <c r="I411" s="5"/>
      <c r="J411" s="126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</row>
    <row r="412" spans="1:85" s="1" customFormat="1" ht="49.7" customHeight="1" x14ac:dyDescent="0.2">
      <c r="A412" s="121" t="s">
        <v>352</v>
      </c>
      <c r="B412" s="40" t="s">
        <v>16</v>
      </c>
      <c r="C412" s="226" t="str">
        <f>VLOOKUP(A412,ORÇAMENTO!B:K,4,FALSE)</f>
        <v>REMOÇÃO DE PORTAS, DE FORMA MANUAL, SEM REAPROVEITAMENTO. AF_09/2023</v>
      </c>
      <c r="D412" s="227"/>
      <c r="E412" s="227"/>
      <c r="F412" s="227"/>
      <c r="G412" s="227"/>
      <c r="H412" s="41" t="str">
        <f>VLOOKUP(A412,ORÇAMENTO!B:K,2,FALSE)</f>
        <v>SINAPI</v>
      </c>
      <c r="I412" s="41" t="str">
        <f>VLOOKUP(A412,ORÇAMENTO!B:K,5,FALSE)</f>
        <v>M2</v>
      </c>
      <c r="J412" s="122">
        <f>J416</f>
        <v>2.58</v>
      </c>
      <c r="K412" s="1" t="s">
        <v>269</v>
      </c>
    </row>
    <row r="413" spans="1:85" s="1" customFormat="1" ht="14.25" customHeight="1" x14ac:dyDescent="0.2">
      <c r="A413" s="238"/>
      <c r="B413" s="239"/>
      <c r="C413" s="228"/>
      <c r="D413" s="228" t="s">
        <v>43</v>
      </c>
      <c r="E413" s="230" t="s">
        <v>44</v>
      </c>
      <c r="F413" s="232" t="s">
        <v>0</v>
      </c>
      <c r="G413" s="232"/>
      <c r="H413" s="230"/>
      <c r="I413" s="230"/>
      <c r="J413" s="234" t="s">
        <v>39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</row>
    <row r="414" spans="1:85" s="1" customFormat="1" ht="14.25" customHeight="1" x14ac:dyDescent="0.2">
      <c r="A414" s="240"/>
      <c r="B414" s="241"/>
      <c r="C414" s="229"/>
      <c r="D414" s="229"/>
      <c r="E414" s="231"/>
      <c r="F414" s="233"/>
      <c r="G414" s="233"/>
      <c r="H414" s="231"/>
      <c r="I414" s="231"/>
      <c r="J414" s="234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</row>
    <row r="415" spans="1:85" s="1" customFormat="1" ht="15" x14ac:dyDescent="0.2">
      <c r="A415" s="243" t="s">
        <v>98</v>
      </c>
      <c r="B415" s="244"/>
      <c r="C415" s="9" t="s">
        <v>99</v>
      </c>
      <c r="D415" s="4">
        <v>1.2</v>
      </c>
      <c r="E415" s="7">
        <v>2.15</v>
      </c>
      <c r="F415" s="7">
        <v>1</v>
      </c>
      <c r="G415" s="7"/>
      <c r="H415" s="23"/>
      <c r="I415" s="23"/>
      <c r="J415" s="123">
        <f t="shared" ref="J415" si="30">PRODUCT(D415:I415)</f>
        <v>2.5799999999999996</v>
      </c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</row>
    <row r="416" spans="1:85" s="1" customFormat="1" ht="15" x14ac:dyDescent="0.25">
      <c r="A416" s="235" t="s">
        <v>1</v>
      </c>
      <c r="B416" s="236"/>
      <c r="C416" s="236"/>
      <c r="D416" s="236"/>
      <c r="E416" s="236"/>
      <c r="F416" s="236"/>
      <c r="G416" s="236"/>
      <c r="H416" s="236"/>
      <c r="I416" s="237"/>
      <c r="J416" s="125">
        <f>ROUND(SUM(J415:J415),2)</f>
        <v>2.58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</row>
    <row r="417" spans="1:85" s="1" customFormat="1" ht="15" x14ac:dyDescent="0.25">
      <c r="A417" s="124"/>
      <c r="B417" s="25"/>
      <c r="C417" s="8"/>
      <c r="D417" s="8"/>
      <c r="E417" s="8"/>
      <c r="F417" s="8"/>
      <c r="G417" s="8"/>
      <c r="H417" s="5"/>
      <c r="I417" s="5"/>
      <c r="J417" s="126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</row>
    <row r="418" spans="1:85" s="1" customFormat="1" ht="49.7" customHeight="1" x14ac:dyDescent="0.2">
      <c r="A418" s="121" t="s">
        <v>353</v>
      </c>
      <c r="B418" s="40" t="s">
        <v>16</v>
      </c>
      <c r="C418" s="226" t="str">
        <f>VLOOKUP(A418,ORÇAMENTO!B:K,4,FALSE)</f>
        <v>Remoção de tubo galvanizado, bitolas diversas</v>
      </c>
      <c r="D418" s="227"/>
      <c r="E418" s="227"/>
      <c r="F418" s="227"/>
      <c r="G418" s="227"/>
      <c r="H418" s="41" t="str">
        <f>VLOOKUP(A418,ORÇAMENTO!B:K,2,FALSE)</f>
        <v>ORSE</v>
      </c>
      <c r="I418" s="41" t="str">
        <f>VLOOKUP(A418,ORÇAMENTO!B:K,5,FALSE)</f>
        <v>m</v>
      </c>
      <c r="J418" s="122">
        <f>J422</f>
        <v>7.5</v>
      </c>
      <c r="K418" s="1" t="s">
        <v>269</v>
      </c>
    </row>
    <row r="419" spans="1:85" s="1" customFormat="1" ht="14.25" customHeight="1" x14ac:dyDescent="0.2">
      <c r="A419" s="238"/>
      <c r="B419" s="239"/>
      <c r="C419" s="228"/>
      <c r="D419" s="228" t="s">
        <v>43</v>
      </c>
      <c r="E419" s="232" t="s">
        <v>0</v>
      </c>
      <c r="F419" s="230"/>
      <c r="G419" s="90"/>
      <c r="H419" s="230"/>
      <c r="I419" s="230"/>
      <c r="J419" s="234" t="s">
        <v>454</v>
      </c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</row>
    <row r="420" spans="1:85" s="1" customFormat="1" ht="14.25" customHeight="1" x14ac:dyDescent="0.2">
      <c r="A420" s="240"/>
      <c r="B420" s="241"/>
      <c r="C420" s="229"/>
      <c r="D420" s="229"/>
      <c r="E420" s="233"/>
      <c r="F420" s="231"/>
      <c r="G420" s="91"/>
      <c r="H420" s="231"/>
      <c r="I420" s="231"/>
      <c r="J420" s="234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</row>
    <row r="421" spans="1:85" s="1" customFormat="1" ht="15" x14ac:dyDescent="0.2">
      <c r="A421" s="243" t="s">
        <v>405</v>
      </c>
      <c r="B421" s="244"/>
      <c r="C421" s="9"/>
      <c r="D421" s="4">
        <v>2.5</v>
      </c>
      <c r="E421" s="7">
        <v>3</v>
      </c>
      <c r="F421" s="7"/>
      <c r="G421" s="7"/>
      <c r="H421" s="23"/>
      <c r="I421" s="23"/>
      <c r="J421" s="123">
        <f t="shared" ref="J421" si="31">PRODUCT(D421:I421)</f>
        <v>7.5</v>
      </c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</row>
    <row r="422" spans="1:85" s="1" customFormat="1" ht="15" x14ac:dyDescent="0.25">
      <c r="A422" s="235" t="s">
        <v>1</v>
      </c>
      <c r="B422" s="236"/>
      <c r="C422" s="236"/>
      <c r="D422" s="236"/>
      <c r="E422" s="236"/>
      <c r="F422" s="236"/>
      <c r="G422" s="236"/>
      <c r="H422" s="236"/>
      <c r="I422" s="237"/>
      <c r="J422" s="125">
        <f>ROUND(SUM(J421:J421),2)</f>
        <v>7.5</v>
      </c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</row>
    <row r="423" spans="1:85" s="1" customFormat="1" ht="15" x14ac:dyDescent="0.25">
      <c r="A423" s="124"/>
      <c r="B423" s="25"/>
      <c r="C423" s="8"/>
      <c r="D423" s="8"/>
      <c r="E423" s="8"/>
      <c r="F423" s="8"/>
      <c r="G423" s="8"/>
      <c r="H423" s="5"/>
      <c r="I423" s="5"/>
      <c r="J423" s="12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</row>
    <row r="424" spans="1:85" s="1" customFormat="1" ht="49.7" customHeight="1" x14ac:dyDescent="0.2">
      <c r="A424" s="121" t="s">
        <v>354</v>
      </c>
      <c r="B424" s="40" t="s">
        <v>16</v>
      </c>
      <c r="C424" s="226" t="str">
        <f>VLOOKUP(A424,ORÇAMENTO!B:K,4,FALSE)</f>
        <v>LIXAMENTO MANUAL EM SUPERFÍCIE METÁLICA PARA REMOÇÃO DE TINTA E/OU FUNDO ANTICORROSIVA</v>
      </c>
      <c r="D424" s="227"/>
      <c r="E424" s="227"/>
      <c r="F424" s="227"/>
      <c r="G424" s="227"/>
      <c r="H424" s="41" t="str">
        <f>VLOOKUP(A424,ORÇAMENTO!B:K,2,FALSE)</f>
        <v>SETOP</v>
      </c>
      <c r="I424" s="41" t="str">
        <f>VLOOKUP(A424,ORÇAMENTO!B:K,5,FALSE)</f>
        <v>m2</v>
      </c>
      <c r="J424" s="122">
        <f>J429</f>
        <v>22.96</v>
      </c>
      <c r="K424" s="1" t="s">
        <v>269</v>
      </c>
    </row>
    <row r="425" spans="1:85" s="1" customFormat="1" ht="14.25" customHeight="1" x14ac:dyDescent="0.2">
      <c r="A425" s="238"/>
      <c r="B425" s="239"/>
      <c r="C425" s="228"/>
      <c r="D425" s="228" t="s">
        <v>43</v>
      </c>
      <c r="E425" s="230" t="s">
        <v>44</v>
      </c>
      <c r="F425" s="232" t="s">
        <v>275</v>
      </c>
      <c r="G425" s="232" t="s">
        <v>0</v>
      </c>
      <c r="H425" s="230"/>
      <c r="I425" s="230"/>
      <c r="J425" s="234" t="s">
        <v>39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</row>
    <row r="426" spans="1:85" s="1" customFormat="1" ht="14.25" customHeight="1" x14ac:dyDescent="0.2">
      <c r="A426" s="240"/>
      <c r="B426" s="241"/>
      <c r="C426" s="229"/>
      <c r="D426" s="229"/>
      <c r="E426" s="231"/>
      <c r="F426" s="233"/>
      <c r="G426" s="233"/>
      <c r="H426" s="231"/>
      <c r="I426" s="231"/>
      <c r="J426" s="234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</row>
    <row r="427" spans="1:85" s="1" customFormat="1" ht="15" x14ac:dyDescent="0.2">
      <c r="A427" s="243" t="s">
        <v>274</v>
      </c>
      <c r="B427" s="244"/>
      <c r="C427" s="4" t="s">
        <v>276</v>
      </c>
      <c r="D427" s="4">
        <f>3.08+3.08</f>
        <v>6.16</v>
      </c>
      <c r="E427" s="7">
        <v>4</v>
      </c>
      <c r="F427" s="7">
        <f>0.8*2.1</f>
        <v>1.6800000000000002</v>
      </c>
      <c r="G427" s="7">
        <v>1</v>
      </c>
      <c r="H427" s="23"/>
      <c r="I427" s="23"/>
      <c r="J427" s="123">
        <f>ROUND((D427*E427)-F427,2)</f>
        <v>22.96</v>
      </c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</row>
    <row r="428" spans="1:85" s="1" customFormat="1" ht="15" x14ac:dyDescent="0.2">
      <c r="A428" s="243" t="s">
        <v>320</v>
      </c>
      <c r="B428" s="244"/>
      <c r="C428" s="4"/>
      <c r="D428" s="4">
        <v>6.36</v>
      </c>
      <c r="E428" s="7">
        <v>0.12</v>
      </c>
      <c r="F428" s="7">
        <v>0</v>
      </c>
      <c r="G428" s="7">
        <v>3</v>
      </c>
      <c r="H428" s="23"/>
      <c r="I428" s="23"/>
      <c r="J428" s="123">
        <f>ROUND((D428*E428)-F428,2)</f>
        <v>0.76</v>
      </c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</row>
    <row r="429" spans="1:85" s="1" customFormat="1" ht="15" x14ac:dyDescent="0.25">
      <c r="A429" s="235" t="s">
        <v>1</v>
      </c>
      <c r="B429" s="236"/>
      <c r="C429" s="236"/>
      <c r="D429" s="236"/>
      <c r="E429" s="236"/>
      <c r="F429" s="236"/>
      <c r="G429" s="236"/>
      <c r="H429" s="236"/>
      <c r="I429" s="237"/>
      <c r="J429" s="125">
        <f>ROUND(SUM(J427:J427),2)</f>
        <v>22.96</v>
      </c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</row>
    <row r="430" spans="1:85" s="1" customFormat="1" ht="15" x14ac:dyDescent="0.25">
      <c r="A430" s="124"/>
      <c r="B430" s="25"/>
      <c r="C430" s="8"/>
      <c r="D430" s="8"/>
      <c r="E430" s="8"/>
      <c r="F430" s="8"/>
      <c r="G430" s="8"/>
      <c r="H430" s="5"/>
      <c r="I430" s="5"/>
      <c r="J430" s="12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</row>
    <row r="431" spans="1:85" s="1" customFormat="1" ht="49.7" customHeight="1" x14ac:dyDescent="0.2">
      <c r="A431" s="121" t="s">
        <v>355</v>
      </c>
      <c r="B431" s="40" t="s">
        <v>16</v>
      </c>
      <c r="C431" s="226" t="str">
        <f>VLOOKUP(A431,ORÇAMENTO!B:K,4,FALSE)</f>
        <v>LIXAMENTO MANUAL EM PAREDE PARA REMOÇÃO DE TINTA</v>
      </c>
      <c r="D431" s="227"/>
      <c r="E431" s="227"/>
      <c r="F431" s="227"/>
      <c r="G431" s="227"/>
      <c r="H431" s="41" t="str">
        <f>VLOOKUP(A431,ORÇAMENTO!B:K,2,FALSE)</f>
        <v>SETOP</v>
      </c>
      <c r="I431" s="41" t="str">
        <f>VLOOKUP(A431,ORÇAMENTO!B:K,5,FALSE)</f>
        <v>m2</v>
      </c>
      <c r="J431" s="122">
        <f>J447</f>
        <v>527.17999999999995</v>
      </c>
      <c r="K431" s="1" t="s">
        <v>269</v>
      </c>
    </row>
    <row r="432" spans="1:85" s="1" customFormat="1" ht="14.25" customHeight="1" x14ac:dyDescent="0.2">
      <c r="A432" s="238"/>
      <c r="B432" s="239"/>
      <c r="C432" s="228"/>
      <c r="D432" s="228" t="s">
        <v>43</v>
      </c>
      <c r="E432" s="230" t="s">
        <v>44</v>
      </c>
      <c r="F432" s="230" t="s">
        <v>3</v>
      </c>
      <c r="G432" s="232" t="s">
        <v>275</v>
      </c>
      <c r="H432" s="230"/>
      <c r="I432" s="230"/>
      <c r="J432" s="234" t="s">
        <v>39</v>
      </c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</row>
    <row r="433" spans="1:85" s="1" customFormat="1" ht="14.25" customHeight="1" x14ac:dyDescent="0.2">
      <c r="A433" s="240"/>
      <c r="B433" s="241"/>
      <c r="C433" s="229"/>
      <c r="D433" s="229"/>
      <c r="E433" s="231"/>
      <c r="F433" s="231"/>
      <c r="G433" s="233"/>
      <c r="H433" s="231"/>
      <c r="I433" s="231"/>
      <c r="J433" s="234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</row>
    <row r="434" spans="1:85" s="1" customFormat="1" ht="15" x14ac:dyDescent="0.2">
      <c r="A434" s="243" t="s">
        <v>277</v>
      </c>
      <c r="B434" s="244"/>
      <c r="C434" s="4"/>
      <c r="D434" s="4">
        <f>6.36+5.73+0.305+5.56+0.3+6.36</f>
        <v>24.614999999999998</v>
      </c>
      <c r="E434" s="7">
        <v>6.94</v>
      </c>
      <c r="F434" s="7">
        <f>D434*E434</f>
        <v>170.82810000000001</v>
      </c>
      <c r="G434" s="7">
        <f>(3.08*2)*4</f>
        <v>24.64</v>
      </c>
      <c r="H434" s="23"/>
      <c r="I434" s="23"/>
      <c r="J434" s="123">
        <f>ROUND(F434-G434,2)</f>
        <v>146.19</v>
      </c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</row>
    <row r="435" spans="1:85" s="1" customFormat="1" ht="15" x14ac:dyDescent="0.2">
      <c r="A435" s="243" t="s">
        <v>282</v>
      </c>
      <c r="B435" s="244"/>
      <c r="C435" s="4"/>
      <c r="D435" s="4">
        <v>6.36</v>
      </c>
      <c r="E435" s="7">
        <v>5.08</v>
      </c>
      <c r="F435" s="7">
        <f t="shared" ref="F435:F436" si="32">D435*E435</f>
        <v>32.308800000000005</v>
      </c>
      <c r="G435" s="7">
        <f>1.2*2.15</f>
        <v>2.5799999999999996</v>
      </c>
      <c r="H435" s="23"/>
      <c r="I435" s="23"/>
      <c r="J435" s="123">
        <f t="shared" ref="J435:J446" si="33">ROUND(F435-G435,2)</f>
        <v>29.73</v>
      </c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</row>
    <row r="436" spans="1:85" s="1" customFormat="1" ht="15" x14ac:dyDescent="0.2">
      <c r="A436" s="243" t="s">
        <v>283</v>
      </c>
      <c r="B436" s="244"/>
      <c r="C436" s="4"/>
      <c r="D436" s="4">
        <v>5.73</v>
      </c>
      <c r="E436" s="7">
        <v>4.4859999999999998</v>
      </c>
      <c r="F436" s="7">
        <f t="shared" si="32"/>
        <v>25.70478</v>
      </c>
      <c r="G436" s="7">
        <f>1.2*2</f>
        <v>2.4</v>
      </c>
      <c r="H436" s="23"/>
      <c r="I436" s="23"/>
      <c r="J436" s="123">
        <f t="shared" si="33"/>
        <v>23.3</v>
      </c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</row>
    <row r="437" spans="1:85" s="1" customFormat="1" ht="15" x14ac:dyDescent="0.2">
      <c r="A437" s="243" t="s">
        <v>283</v>
      </c>
      <c r="B437" s="244"/>
      <c r="C437" s="4"/>
      <c r="D437" s="4"/>
      <c r="E437" s="7"/>
      <c r="F437" s="7">
        <f>(5.73*0.59)/2</f>
        <v>1.69035</v>
      </c>
      <c r="G437" s="7">
        <v>0</v>
      </c>
      <c r="H437" s="23"/>
      <c r="I437" s="23"/>
      <c r="J437" s="123">
        <f t="shared" si="33"/>
        <v>1.69</v>
      </c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</row>
    <row r="438" spans="1:85" s="1" customFormat="1" ht="15" x14ac:dyDescent="0.2">
      <c r="A438" s="243" t="s">
        <v>285</v>
      </c>
      <c r="B438" s="244"/>
      <c r="C438" s="4"/>
      <c r="D438" s="4">
        <v>6.36</v>
      </c>
      <c r="E438" s="7">
        <v>4.4859999999999998</v>
      </c>
      <c r="F438" s="7">
        <f t="shared" ref="F438:F439" si="34">D438*E438</f>
        <v>28.53096</v>
      </c>
      <c r="G438" s="7">
        <v>0</v>
      </c>
      <c r="H438" s="23"/>
      <c r="I438" s="23"/>
      <c r="J438" s="123">
        <f t="shared" si="33"/>
        <v>28.53</v>
      </c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</row>
    <row r="439" spans="1:85" s="1" customFormat="1" ht="15" x14ac:dyDescent="0.2">
      <c r="A439" s="243" t="s">
        <v>284</v>
      </c>
      <c r="B439" s="244"/>
      <c r="C439" s="4"/>
      <c r="D439" s="4">
        <v>5.56</v>
      </c>
      <c r="E439" s="7">
        <v>4.4859999999999998</v>
      </c>
      <c r="F439" s="7">
        <f t="shared" si="34"/>
        <v>24.942159999999998</v>
      </c>
      <c r="G439" s="7">
        <f>2*1.2</f>
        <v>2.4</v>
      </c>
      <c r="H439" s="23"/>
      <c r="I439" s="23"/>
      <c r="J439" s="123">
        <f t="shared" si="33"/>
        <v>22.54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</row>
    <row r="440" spans="1:85" s="1" customFormat="1" ht="15" x14ac:dyDescent="0.2">
      <c r="A440" s="243" t="s">
        <v>284</v>
      </c>
      <c r="B440" s="244"/>
      <c r="C440" s="4"/>
      <c r="D440" s="4"/>
      <c r="E440" s="7"/>
      <c r="F440" s="7">
        <f>(5.56*0.59)/2</f>
        <v>1.6401999999999999</v>
      </c>
      <c r="G440" s="7">
        <v>0</v>
      </c>
      <c r="H440" s="23"/>
      <c r="I440" s="23"/>
      <c r="J440" s="123">
        <f t="shared" si="33"/>
        <v>1.64</v>
      </c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</row>
    <row r="441" spans="1:85" s="1" customFormat="1" ht="15" x14ac:dyDescent="0.2">
      <c r="A441" s="243" t="s">
        <v>278</v>
      </c>
      <c r="B441" s="244"/>
      <c r="C441" s="4"/>
      <c r="D441" s="4">
        <v>6.76</v>
      </c>
      <c r="E441" s="7">
        <v>12.31</v>
      </c>
      <c r="F441" s="7">
        <f t="shared" ref="F441:F442" si="35">D441*E441</f>
        <v>83.215599999999995</v>
      </c>
      <c r="G441" s="7">
        <f>(1.2*2.15)+((0.9+2.05+0.9)*0.15)+(1.08*1.32)</f>
        <v>4.5831</v>
      </c>
      <c r="H441" s="23"/>
      <c r="I441" s="23"/>
      <c r="J441" s="123">
        <f t="shared" si="33"/>
        <v>78.63</v>
      </c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</row>
    <row r="442" spans="1:85" s="1" customFormat="1" ht="15" x14ac:dyDescent="0.2">
      <c r="A442" s="243" t="s">
        <v>279</v>
      </c>
      <c r="B442" s="244"/>
      <c r="C442" s="4"/>
      <c r="D442" s="4">
        <v>6.13</v>
      </c>
      <c r="E442" s="7">
        <v>11.72</v>
      </c>
      <c r="F442" s="7">
        <f t="shared" si="35"/>
        <v>71.843600000000009</v>
      </c>
      <c r="G442" s="7">
        <f>(2*1.2)</f>
        <v>2.4</v>
      </c>
      <c r="H442" s="23"/>
      <c r="I442" s="23"/>
      <c r="J442" s="123">
        <f t="shared" si="33"/>
        <v>69.44</v>
      </c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</row>
    <row r="443" spans="1:85" s="1" customFormat="1" ht="15" x14ac:dyDescent="0.2">
      <c r="A443" s="243" t="s">
        <v>279</v>
      </c>
      <c r="B443" s="244"/>
      <c r="C443" s="4"/>
      <c r="D443" s="4"/>
      <c r="E443" s="7"/>
      <c r="F443" s="7">
        <f>(6.13*0.59)/2</f>
        <v>1.8083499999999999</v>
      </c>
      <c r="G443" s="7">
        <v>0</v>
      </c>
      <c r="H443" s="23"/>
      <c r="I443" s="23"/>
      <c r="J443" s="123">
        <f t="shared" si="33"/>
        <v>1.81</v>
      </c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</row>
    <row r="444" spans="1:85" s="1" customFormat="1" ht="15" x14ac:dyDescent="0.2">
      <c r="A444" s="243" t="s">
        <v>280</v>
      </c>
      <c r="B444" s="244"/>
      <c r="C444" s="4"/>
      <c r="D444" s="4">
        <v>6.76</v>
      </c>
      <c r="E444" s="7">
        <v>11.72</v>
      </c>
      <c r="F444" s="7">
        <f t="shared" ref="F444:F445" si="36">D444*E444</f>
        <v>79.227199999999996</v>
      </c>
      <c r="G444" s="7">
        <f>((3.08+3.08)*4)</f>
        <v>24.64</v>
      </c>
      <c r="H444" s="23"/>
      <c r="I444" s="23"/>
      <c r="J444" s="123">
        <f t="shared" si="33"/>
        <v>54.59</v>
      </c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</row>
    <row r="445" spans="1:85" s="1" customFormat="1" ht="15" x14ac:dyDescent="0.2">
      <c r="A445" s="243" t="s">
        <v>281</v>
      </c>
      <c r="B445" s="244"/>
      <c r="C445" s="4"/>
      <c r="D445" s="4">
        <v>5.95</v>
      </c>
      <c r="E445" s="7">
        <v>11.72</v>
      </c>
      <c r="F445" s="7">
        <f t="shared" si="36"/>
        <v>69.734000000000009</v>
      </c>
      <c r="G445" s="7">
        <f>(2*1.2)</f>
        <v>2.4</v>
      </c>
      <c r="H445" s="23"/>
      <c r="I445" s="23"/>
      <c r="J445" s="123">
        <f t="shared" si="33"/>
        <v>67.33</v>
      </c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</row>
    <row r="446" spans="1:85" s="1" customFormat="1" ht="15" x14ac:dyDescent="0.2">
      <c r="A446" s="243" t="s">
        <v>281</v>
      </c>
      <c r="B446" s="244"/>
      <c r="C446" s="4"/>
      <c r="D446" s="4"/>
      <c r="E446" s="7"/>
      <c r="F446" s="7">
        <f>(5.95*0.59)/2</f>
        <v>1.75525</v>
      </c>
      <c r="G446" s="7">
        <v>0</v>
      </c>
      <c r="H446" s="23"/>
      <c r="I446" s="23"/>
      <c r="J446" s="123">
        <f t="shared" si="33"/>
        <v>1.76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</row>
    <row r="447" spans="1:85" s="1" customFormat="1" ht="15" x14ac:dyDescent="0.25">
      <c r="A447" s="235" t="s">
        <v>1</v>
      </c>
      <c r="B447" s="236"/>
      <c r="C447" s="236"/>
      <c r="D447" s="236"/>
      <c r="E447" s="236"/>
      <c r="F447" s="236"/>
      <c r="G447" s="236"/>
      <c r="H447" s="236"/>
      <c r="I447" s="237"/>
      <c r="J447" s="125">
        <f>ROUND(SUM(J434:J446),2)</f>
        <v>527.17999999999995</v>
      </c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</row>
    <row r="448" spans="1:85" s="1" customFormat="1" ht="15" x14ac:dyDescent="0.25">
      <c r="A448" s="124"/>
      <c r="B448" s="25"/>
      <c r="C448" s="8"/>
      <c r="D448" s="8"/>
      <c r="E448" s="8"/>
      <c r="F448" s="8"/>
      <c r="G448" s="8"/>
      <c r="H448" s="5"/>
      <c r="I448" s="5"/>
      <c r="J448" s="126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</row>
    <row r="449" spans="1:85" s="1" customFormat="1" ht="49.7" customHeight="1" x14ac:dyDescent="0.2">
      <c r="A449" s="121" t="s">
        <v>356</v>
      </c>
      <c r="B449" s="40" t="s">
        <v>16</v>
      </c>
      <c r="C449" s="226" t="str">
        <f>VLOOKUP(A449,ORÇAMENTO!B:K,4,FALSE)</f>
        <v>LIXAMENTO MANUAL EM TETO PARA REMOÇÃO DE TINTA</v>
      </c>
      <c r="D449" s="227"/>
      <c r="E449" s="227"/>
      <c r="F449" s="227"/>
      <c r="G449" s="227"/>
      <c r="H449" s="41" t="str">
        <f>VLOOKUP(A449,ORÇAMENTO!B:K,2,FALSE)</f>
        <v>SETOP</v>
      </c>
      <c r="I449" s="41" t="str">
        <f>VLOOKUP(A449,ORÇAMENTO!B:K,5,FALSE)</f>
        <v>m2</v>
      </c>
      <c r="J449" s="122">
        <f>J453</f>
        <v>35.9</v>
      </c>
      <c r="K449" s="1" t="s">
        <v>269</v>
      </c>
    </row>
    <row r="450" spans="1:85" s="1" customFormat="1" ht="14.25" customHeight="1" x14ac:dyDescent="0.2">
      <c r="A450" s="238"/>
      <c r="B450" s="239"/>
      <c r="C450" s="228"/>
      <c r="D450" s="228" t="s">
        <v>3</v>
      </c>
      <c r="E450" s="232" t="s">
        <v>0</v>
      </c>
      <c r="F450" s="232"/>
      <c r="G450" s="232"/>
      <c r="H450" s="230"/>
      <c r="I450" s="230"/>
      <c r="J450" s="234" t="s">
        <v>39</v>
      </c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</row>
    <row r="451" spans="1:85" s="1" customFormat="1" ht="14.25" customHeight="1" x14ac:dyDescent="0.2">
      <c r="A451" s="240"/>
      <c r="B451" s="241"/>
      <c r="C451" s="229"/>
      <c r="D451" s="229"/>
      <c r="E451" s="233"/>
      <c r="F451" s="233"/>
      <c r="G451" s="233"/>
      <c r="H451" s="231"/>
      <c r="I451" s="231"/>
      <c r="J451" s="234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</row>
    <row r="452" spans="1:85" s="1" customFormat="1" ht="15" x14ac:dyDescent="0.2">
      <c r="A452" s="243" t="s">
        <v>286</v>
      </c>
      <c r="B452" s="244"/>
      <c r="C452" s="9"/>
      <c r="D452" s="4">
        <v>35.9</v>
      </c>
      <c r="E452" s="7">
        <v>1</v>
      </c>
      <c r="F452" s="7"/>
      <c r="G452" s="7"/>
      <c r="H452" s="23"/>
      <c r="I452" s="23"/>
      <c r="J452" s="123">
        <f t="shared" ref="J452" si="37">PRODUCT(D452:I452)</f>
        <v>35.9</v>
      </c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</row>
    <row r="453" spans="1:85" s="1" customFormat="1" ht="15" x14ac:dyDescent="0.25">
      <c r="A453" s="235" t="s">
        <v>1</v>
      </c>
      <c r="B453" s="236"/>
      <c r="C453" s="236"/>
      <c r="D453" s="236"/>
      <c r="E453" s="236"/>
      <c r="F453" s="236"/>
      <c r="G453" s="236"/>
      <c r="H453" s="236"/>
      <c r="I453" s="237"/>
      <c r="J453" s="125">
        <f>ROUND(SUM(J452:J452),2)</f>
        <v>35.9</v>
      </c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</row>
    <row r="454" spans="1:85" s="1" customFormat="1" ht="15" x14ac:dyDescent="0.25">
      <c r="A454" s="124"/>
      <c r="B454" s="25"/>
      <c r="C454" s="8"/>
      <c r="D454" s="8"/>
      <c r="E454" s="8"/>
      <c r="F454" s="8"/>
      <c r="G454" s="8"/>
      <c r="H454" s="5"/>
      <c r="I454" s="5"/>
      <c r="J454" s="126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</row>
    <row r="455" spans="1:85" s="1" customFormat="1" ht="49.7" customHeight="1" x14ac:dyDescent="0.2">
      <c r="A455" s="121" t="s">
        <v>357</v>
      </c>
      <c r="B455" s="40" t="s">
        <v>16</v>
      </c>
      <c r="C455" s="226" t="str">
        <f>VLOOKUP(A455,ORÇAMENTO!B:K,4,FALSE)</f>
        <v>REMOÇÃO DE TELHAS DE FIBROCIMENTO METÁLICA E CERÂMICA, DE FORMA MANUAL, SEM REAPROVEITAMENTO. AF_09/2023</v>
      </c>
      <c r="D455" s="227"/>
      <c r="E455" s="227"/>
      <c r="F455" s="227"/>
      <c r="G455" s="227"/>
      <c r="H455" s="41" t="str">
        <f>VLOOKUP(A455,ORÇAMENTO!B:K,2,FALSE)</f>
        <v>SINAPI</v>
      </c>
      <c r="I455" s="41" t="str">
        <f>VLOOKUP(A455,ORÇAMENTO!B:K,5,FALSE)</f>
        <v>M2</v>
      </c>
      <c r="J455" s="122">
        <f>J459</f>
        <v>54.67</v>
      </c>
      <c r="K455" s="1" t="s">
        <v>269</v>
      </c>
    </row>
    <row r="456" spans="1:85" s="1" customFormat="1" ht="14.25" customHeight="1" x14ac:dyDescent="0.2">
      <c r="A456" s="238"/>
      <c r="B456" s="239"/>
      <c r="C456" s="228"/>
      <c r="D456" s="228" t="s">
        <v>3</v>
      </c>
      <c r="E456" s="232" t="s">
        <v>0</v>
      </c>
      <c r="F456" s="232"/>
      <c r="G456" s="232"/>
      <c r="H456" s="230"/>
      <c r="I456" s="230"/>
      <c r="J456" s="234" t="s">
        <v>39</v>
      </c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</row>
    <row r="457" spans="1:85" s="1" customFormat="1" ht="14.25" customHeight="1" x14ac:dyDescent="0.2">
      <c r="A457" s="240"/>
      <c r="B457" s="241"/>
      <c r="C457" s="229"/>
      <c r="D457" s="229"/>
      <c r="E457" s="233"/>
      <c r="F457" s="233"/>
      <c r="G457" s="233"/>
      <c r="H457" s="231"/>
      <c r="I457" s="231"/>
      <c r="J457" s="234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</row>
    <row r="458" spans="1:85" s="1" customFormat="1" ht="15" x14ac:dyDescent="0.2">
      <c r="A458" s="243" t="s">
        <v>287</v>
      </c>
      <c r="B458" s="244"/>
      <c r="C458" s="9"/>
      <c r="D458" s="4">
        <v>54.67</v>
      </c>
      <c r="E458" s="7">
        <v>1</v>
      </c>
      <c r="F458" s="7"/>
      <c r="G458" s="7"/>
      <c r="H458" s="23"/>
      <c r="I458" s="23"/>
      <c r="J458" s="123">
        <f t="shared" ref="J458" si="38">PRODUCT(D458:I458)</f>
        <v>54.67</v>
      </c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</row>
    <row r="459" spans="1:85" s="1" customFormat="1" ht="15" x14ac:dyDescent="0.25">
      <c r="A459" s="235" t="s">
        <v>1</v>
      </c>
      <c r="B459" s="236"/>
      <c r="C459" s="236"/>
      <c r="D459" s="236"/>
      <c r="E459" s="236"/>
      <c r="F459" s="236"/>
      <c r="G459" s="236"/>
      <c r="H459" s="236"/>
      <c r="I459" s="237"/>
      <c r="J459" s="125">
        <f>ROUND(SUM(J458:J458),2)</f>
        <v>54.67</v>
      </c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</row>
    <row r="460" spans="1:85" s="1" customFormat="1" ht="15" x14ac:dyDescent="0.25">
      <c r="A460" s="124"/>
      <c r="B460" s="25"/>
      <c r="C460" s="8"/>
      <c r="D460" s="8"/>
      <c r="E460" s="8"/>
      <c r="F460" s="8"/>
      <c r="G460" s="8"/>
      <c r="H460" s="5"/>
      <c r="I460" s="5"/>
      <c r="J460" s="126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</row>
    <row r="461" spans="1:85" s="1" customFormat="1" ht="49.7" customHeight="1" x14ac:dyDescent="0.2">
      <c r="A461" s="121" t="s">
        <v>358</v>
      </c>
      <c r="B461" s="40" t="s">
        <v>16</v>
      </c>
      <c r="C461" s="226" t="str">
        <f>VLOOKUP(A461,ORÇAMENTO!B:K,4,FALSE)</f>
        <v>ESCAVAÇÃO MANUAL DE TERRA (DESATERRO MANUAL), INCLUSIVE DESCARGA LATERAL, EXCLUSIVE RETIRADA E TRANSPORTE DO MATERIAL ESCAVADO</v>
      </c>
      <c r="D461" s="227"/>
      <c r="E461" s="227"/>
      <c r="F461" s="227"/>
      <c r="G461" s="227"/>
      <c r="H461" s="41" t="str">
        <f>VLOOKUP(A461,ORÇAMENTO!B:K,2,FALSE)</f>
        <v>SETOP</v>
      </c>
      <c r="I461" s="41" t="str">
        <f>VLOOKUP(A461,ORÇAMENTO!B:K,5,FALSE)</f>
        <v>m3</v>
      </c>
      <c r="J461" s="122">
        <f>J465</f>
        <v>6.99</v>
      </c>
      <c r="K461" s="1" t="s">
        <v>269</v>
      </c>
    </row>
    <row r="462" spans="1:85" s="1" customFormat="1" ht="14.25" customHeight="1" x14ac:dyDescent="0.2">
      <c r="A462" s="238"/>
      <c r="B462" s="239"/>
      <c r="C462" s="228"/>
      <c r="D462" s="228" t="s">
        <v>43</v>
      </c>
      <c r="E462" s="230" t="s">
        <v>272</v>
      </c>
      <c r="F462" s="232" t="s">
        <v>2</v>
      </c>
      <c r="G462" s="232" t="s">
        <v>0</v>
      </c>
      <c r="H462" s="230"/>
      <c r="I462" s="230"/>
      <c r="J462" s="234" t="s">
        <v>273</v>
      </c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</row>
    <row r="463" spans="1:85" s="1" customFormat="1" ht="14.25" customHeight="1" x14ac:dyDescent="0.2">
      <c r="A463" s="240"/>
      <c r="B463" s="241"/>
      <c r="C463" s="229"/>
      <c r="D463" s="229"/>
      <c r="E463" s="231"/>
      <c r="F463" s="233"/>
      <c r="G463" s="233"/>
      <c r="H463" s="231"/>
      <c r="I463" s="231"/>
      <c r="J463" s="234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</row>
    <row r="464" spans="1:85" s="1" customFormat="1" ht="15" x14ac:dyDescent="0.2">
      <c r="A464" s="243" t="s">
        <v>288</v>
      </c>
      <c r="B464" s="244"/>
      <c r="C464" s="9"/>
      <c r="D464" s="4">
        <v>15.54</v>
      </c>
      <c r="E464" s="7">
        <v>1.5</v>
      </c>
      <c r="F464" s="7">
        <v>0.15</v>
      </c>
      <c r="G464" s="7">
        <v>2</v>
      </c>
      <c r="H464" s="23"/>
      <c r="I464" s="23"/>
      <c r="J464" s="123">
        <f>PRODUCT(D464:I464)</f>
        <v>6.9929999999999994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</row>
    <row r="465" spans="1:85" s="1" customFormat="1" ht="15" x14ac:dyDescent="0.25">
      <c r="A465" s="235" t="s">
        <v>1</v>
      </c>
      <c r="B465" s="236"/>
      <c r="C465" s="236"/>
      <c r="D465" s="236"/>
      <c r="E465" s="236"/>
      <c r="F465" s="236"/>
      <c r="G465" s="236"/>
      <c r="H465" s="236"/>
      <c r="I465" s="237"/>
      <c r="J465" s="125">
        <f>ROUND(SUM(J464:J464),2)</f>
        <v>6.99</v>
      </c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</row>
    <row r="466" spans="1:85" s="1" customFormat="1" ht="15" x14ac:dyDescent="0.25">
      <c r="A466" s="124"/>
      <c r="B466" s="25"/>
      <c r="C466" s="8"/>
      <c r="D466" s="8"/>
      <c r="E466" s="8"/>
      <c r="F466" s="8"/>
      <c r="G466" s="8"/>
      <c r="H466" s="5"/>
      <c r="I466" s="5"/>
      <c r="J466" s="126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</row>
    <row r="467" spans="1:85" s="1" customFormat="1" ht="49.7" customHeight="1" x14ac:dyDescent="0.2">
      <c r="A467" s="121" t="s">
        <v>445</v>
      </c>
      <c r="B467" s="40" t="s">
        <v>16</v>
      </c>
      <c r="C467" s="226" t="str">
        <f>VLOOKUP(A467,ORÇAMENTO!B:K,4,FALSE)</f>
        <v>CARGA, MANOBRA E DESCARGA DE ENTULHO EM CAMINHÃO BASCULANTE 10 M³ - CARGA COM ESCAVADEIRA HIDRÁULICA (CAÇAMBA DE 0,80 M³ / 111 HP) E DESCARGA LIVRE (UNIDADE: M3). AF_07/2020</v>
      </c>
      <c r="D467" s="227"/>
      <c r="E467" s="227"/>
      <c r="F467" s="227"/>
      <c r="G467" s="227"/>
      <c r="H467" s="41" t="str">
        <f>VLOOKUP(A467,ORÇAMENTO!B:K,2,FALSE)</f>
        <v>SINAPI</v>
      </c>
      <c r="I467" s="41" t="str">
        <f>VLOOKUP(A467,ORÇAMENTO!B:K,5,FALSE)</f>
        <v>M3</v>
      </c>
      <c r="J467" s="122">
        <f>J477</f>
        <v>10.79</v>
      </c>
    </row>
    <row r="468" spans="1:85" s="1" customFormat="1" ht="14.45" customHeight="1" x14ac:dyDescent="0.2">
      <c r="A468" s="319" t="s">
        <v>12</v>
      </c>
      <c r="B468" s="320"/>
      <c r="C468" s="321"/>
      <c r="D468" s="228" t="s">
        <v>449</v>
      </c>
      <c r="E468" s="230" t="s">
        <v>450</v>
      </c>
      <c r="F468" s="230" t="s">
        <v>453</v>
      </c>
      <c r="G468" s="232" t="s">
        <v>451</v>
      </c>
      <c r="H468" s="232" t="s">
        <v>452</v>
      </c>
      <c r="I468" s="230"/>
      <c r="J468" s="234" t="s">
        <v>273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</row>
    <row r="469" spans="1:85" s="1" customFormat="1" x14ac:dyDescent="0.2">
      <c r="A469" s="322"/>
      <c r="B469" s="323"/>
      <c r="C469" s="324"/>
      <c r="D469" s="229"/>
      <c r="E469" s="231"/>
      <c r="F469" s="231" t="s">
        <v>453</v>
      </c>
      <c r="G469" s="233"/>
      <c r="H469" s="233"/>
      <c r="I469" s="231"/>
      <c r="J469" s="234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</row>
    <row r="470" spans="1:85" s="1" customFormat="1" ht="52.9" customHeight="1" x14ac:dyDescent="0.2">
      <c r="A470" s="316" t="str">
        <f>C393</f>
        <v>ESCARIFICAÇÃO MANUAL EM PEÇA DE CONCRETO, COM PROFUNDIDADE MÁXIMA DE ATÉ 3CM, INCLUSIVE LIMPEZA DA SEÇÃO ESCARIFICADA, TRANSPORTE E RETIRADA DO MATERIAL DEMOLIDO, EXCLUSIVE RECOMPOSIÇÃO EM ARGAMASSA OU CONCRETO</v>
      </c>
      <c r="B470" s="317"/>
      <c r="C470" s="318"/>
      <c r="D470" s="4"/>
      <c r="E470" s="7"/>
      <c r="F470" s="7">
        <f>J398</f>
        <v>3.57</v>
      </c>
      <c r="G470" s="7">
        <v>0.03</v>
      </c>
      <c r="H470" s="116">
        <f t="shared" ref="H470:H475" si="39">ROUND(F470*G470,2)</f>
        <v>0.11</v>
      </c>
      <c r="I470" s="23"/>
      <c r="J470" s="123">
        <f>H470</f>
        <v>0.11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</row>
    <row r="471" spans="1:85" s="1" customFormat="1" ht="47.45" customHeight="1" x14ac:dyDescent="0.2">
      <c r="A471" s="316" t="str">
        <f>C400</f>
        <v>DEMOLIÇÃO MANUAL DE REBOCO OU EMBOÇO, COM ESPESSURA DE ATÉ 55MM, INCLUSIVE AFASTAMENTO E EMPILHAMENTO, EXCLUSIVE TRANSPORTE E RETIRADA DO MATERIAL DEMOLIDO</v>
      </c>
      <c r="B471" s="317"/>
      <c r="C471" s="318"/>
      <c r="D471" s="4"/>
      <c r="E471" s="7"/>
      <c r="F471" s="7">
        <f>J404</f>
        <v>42.79</v>
      </c>
      <c r="G471" s="7">
        <v>0.02</v>
      </c>
      <c r="H471" s="116">
        <f t="shared" si="39"/>
        <v>0.86</v>
      </c>
      <c r="I471" s="23"/>
      <c r="J471" s="123">
        <f t="shared" ref="J471:J476" si="40">H471</f>
        <v>0.86</v>
      </c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</row>
    <row r="472" spans="1:85" s="1" customFormat="1" ht="27.6" customHeight="1" x14ac:dyDescent="0.2">
      <c r="A472" s="316" t="str">
        <f>C406</f>
        <v>REMOÇÃO DE JANELAS, DE FORMA MANUAL, SEM REAPROVEITAMENTO. AF_09/2023</v>
      </c>
      <c r="B472" s="317"/>
      <c r="C472" s="318"/>
      <c r="D472" s="4"/>
      <c r="E472" s="7"/>
      <c r="F472" s="7">
        <f>J410</f>
        <v>4.8</v>
      </c>
      <c r="G472" s="7">
        <v>0.15</v>
      </c>
      <c r="H472" s="116">
        <f t="shared" si="39"/>
        <v>0.72</v>
      </c>
      <c r="I472" s="23"/>
      <c r="J472" s="123">
        <f t="shared" si="40"/>
        <v>0.72</v>
      </c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</row>
    <row r="473" spans="1:85" s="1" customFormat="1" ht="27" customHeight="1" x14ac:dyDescent="0.2">
      <c r="A473" s="316" t="str">
        <f>C412</f>
        <v>REMOÇÃO DE PORTAS, DE FORMA MANUAL, SEM REAPROVEITAMENTO. AF_09/2023</v>
      </c>
      <c r="B473" s="317"/>
      <c r="C473" s="318"/>
      <c r="D473" s="4"/>
      <c r="E473" s="7"/>
      <c r="F473" s="7">
        <f>J416</f>
        <v>2.58</v>
      </c>
      <c r="G473" s="7">
        <v>0.15</v>
      </c>
      <c r="H473" s="116">
        <f t="shared" si="39"/>
        <v>0.39</v>
      </c>
      <c r="I473" s="23"/>
      <c r="J473" s="123">
        <f t="shared" si="40"/>
        <v>0.39</v>
      </c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</row>
    <row r="474" spans="1:85" s="1" customFormat="1" ht="28.15" customHeight="1" x14ac:dyDescent="0.2">
      <c r="A474" s="316" t="str">
        <f>C418</f>
        <v>Remoção de tubo galvanizado, bitolas diversas</v>
      </c>
      <c r="B474" s="317"/>
      <c r="C474" s="318"/>
      <c r="D474" s="4">
        <f>J422</f>
        <v>7.5</v>
      </c>
      <c r="E474" s="7">
        <v>0.1</v>
      </c>
      <c r="F474" s="7">
        <f>ROUND(D474*E474,2)</f>
        <v>0.75</v>
      </c>
      <c r="G474" s="7">
        <v>0.1</v>
      </c>
      <c r="H474" s="116">
        <f t="shared" si="39"/>
        <v>0.08</v>
      </c>
      <c r="I474" s="23"/>
      <c r="J474" s="123">
        <f t="shared" si="40"/>
        <v>0.08</v>
      </c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</row>
    <row r="475" spans="1:85" s="1" customFormat="1" ht="36" customHeight="1" x14ac:dyDescent="0.2">
      <c r="A475" s="316" t="str">
        <f>C455</f>
        <v>REMOÇÃO DE TELHAS DE FIBROCIMENTO METÁLICA E CERÂMICA, DE FORMA MANUAL, SEM REAPROVEITAMENTO. AF_09/2023</v>
      </c>
      <c r="B475" s="317"/>
      <c r="C475" s="318"/>
      <c r="D475" s="4"/>
      <c r="E475" s="7"/>
      <c r="F475" s="7">
        <f>J459</f>
        <v>54.67</v>
      </c>
      <c r="G475" s="7">
        <v>0.03</v>
      </c>
      <c r="H475" s="23">
        <f t="shared" si="39"/>
        <v>1.64</v>
      </c>
      <c r="I475" s="23"/>
      <c r="J475" s="123">
        <f t="shared" si="40"/>
        <v>1.64</v>
      </c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</row>
    <row r="476" spans="1:85" s="1" customFormat="1" ht="39" customHeight="1" x14ac:dyDescent="0.2">
      <c r="A476" s="316" t="str">
        <f>C461</f>
        <v>ESCAVAÇÃO MANUAL DE TERRA (DESATERRO MANUAL), INCLUSIVE DESCARGA LATERAL, EXCLUSIVE RETIRADA E TRANSPORTE DO MATERIAL ESCAVADO</v>
      </c>
      <c r="B476" s="317"/>
      <c r="C476" s="318"/>
      <c r="D476" s="4"/>
      <c r="E476" s="7"/>
      <c r="F476" s="7"/>
      <c r="G476" s="7"/>
      <c r="H476" s="116">
        <f>J465</f>
        <v>6.99</v>
      </c>
      <c r="I476" s="23"/>
      <c r="J476" s="123">
        <f t="shared" si="40"/>
        <v>6.99</v>
      </c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</row>
    <row r="477" spans="1:85" s="1" customFormat="1" ht="15" x14ac:dyDescent="0.25">
      <c r="A477" s="235" t="s">
        <v>1</v>
      </c>
      <c r="B477" s="236"/>
      <c r="C477" s="236"/>
      <c r="D477" s="236"/>
      <c r="E477" s="236"/>
      <c r="F477" s="236"/>
      <c r="G477" s="236"/>
      <c r="H477" s="236"/>
      <c r="I477" s="237"/>
      <c r="J477" s="125">
        <f>ROUND(SUM(J470:J476),2)</f>
        <v>10.79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</row>
    <row r="478" spans="1:85" s="1" customFormat="1" ht="15" x14ac:dyDescent="0.25">
      <c r="A478" s="124"/>
      <c r="B478" s="25"/>
      <c r="C478" s="8"/>
      <c r="D478" s="8"/>
      <c r="E478" s="8"/>
      <c r="F478" s="8"/>
      <c r="G478" s="8"/>
      <c r="H478" s="5"/>
      <c r="I478" s="5"/>
      <c r="J478" s="126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</row>
    <row r="479" spans="1:85" s="1" customFormat="1" ht="49.7" customHeight="1" x14ac:dyDescent="0.2">
      <c r="A479" s="121" t="s">
        <v>446</v>
      </c>
      <c r="B479" s="40" t="s">
        <v>16</v>
      </c>
      <c r="C479" s="226" t="str">
        <f>VLOOKUP(A479,ORÇAMENTO!B:K,4,FALSE)</f>
        <v>TRANSPORTE DE MATERIAL DE QUALQUER NATUREZA EM CAMINHÃO, DISTÂNCIA MAIOR QUE 2KM E MENOR OU IGUAL A 5KM, DENTRO DO PERÍMETRO URBANO, EXCLUSIVE CARGA, INCLUSIVE DESCARGA</v>
      </c>
      <c r="D479" s="227"/>
      <c r="E479" s="227"/>
      <c r="F479" s="227"/>
      <c r="G479" s="227"/>
      <c r="H479" s="41" t="str">
        <f>VLOOKUP(A479,ORÇAMENTO!B:K,2,FALSE)</f>
        <v>SETOP</v>
      </c>
      <c r="I479" s="41" t="str">
        <f>VLOOKUP(A479,ORÇAMENTO!B:K,5,FALSE)</f>
        <v>M3xKM</v>
      </c>
      <c r="J479" s="122">
        <f>J483</f>
        <v>53.95</v>
      </c>
    </row>
    <row r="480" spans="1:85" s="1" customFormat="1" x14ac:dyDescent="0.2">
      <c r="A480" s="238"/>
      <c r="B480" s="239"/>
      <c r="C480" s="228"/>
      <c r="D480" s="242" t="s">
        <v>273</v>
      </c>
      <c r="E480" s="230" t="s">
        <v>447</v>
      </c>
      <c r="F480" s="232"/>
      <c r="G480" s="232"/>
      <c r="H480" s="230"/>
      <c r="I480" s="230"/>
      <c r="J480" s="234" t="s">
        <v>448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</row>
    <row r="481" spans="1:85" s="1" customFormat="1" x14ac:dyDescent="0.2">
      <c r="A481" s="240"/>
      <c r="B481" s="241"/>
      <c r="C481" s="229"/>
      <c r="D481" s="242"/>
      <c r="E481" s="231"/>
      <c r="F481" s="233"/>
      <c r="G481" s="233"/>
      <c r="H481" s="231"/>
      <c r="I481" s="231"/>
      <c r="J481" s="234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</row>
    <row r="482" spans="1:85" s="1" customFormat="1" ht="15" x14ac:dyDescent="0.2">
      <c r="A482" s="243"/>
      <c r="B482" s="244"/>
      <c r="C482" s="9"/>
      <c r="D482" s="4">
        <f>J477</f>
        <v>10.79</v>
      </c>
      <c r="E482" s="7">
        <v>5</v>
      </c>
      <c r="F482" s="7"/>
      <c r="G482" s="7"/>
      <c r="H482" s="23"/>
      <c r="I482" s="23"/>
      <c r="J482" s="123">
        <f t="shared" ref="J482" si="41">PRODUCT(D482:I482)</f>
        <v>53.949999999999996</v>
      </c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</row>
    <row r="483" spans="1:85" s="1" customFormat="1" ht="15" x14ac:dyDescent="0.25">
      <c r="A483" s="235" t="s">
        <v>1</v>
      </c>
      <c r="B483" s="236"/>
      <c r="C483" s="236"/>
      <c r="D483" s="236"/>
      <c r="E483" s="236"/>
      <c r="F483" s="236"/>
      <c r="G483" s="236"/>
      <c r="H483" s="236"/>
      <c r="I483" s="237"/>
      <c r="J483" s="125">
        <f>ROUND(SUM(J482:J482),2)</f>
        <v>53.95</v>
      </c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</row>
    <row r="484" spans="1:85" s="1" customFormat="1" ht="15" x14ac:dyDescent="0.25">
      <c r="A484" s="124"/>
      <c r="B484" s="25"/>
      <c r="C484" s="8"/>
      <c r="D484" s="8"/>
      <c r="E484" s="8"/>
      <c r="F484" s="8"/>
      <c r="G484" s="8"/>
      <c r="H484" s="5"/>
      <c r="I484" s="5"/>
      <c r="J484" s="126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</row>
    <row r="485" spans="1:85" s="1" customFormat="1" ht="20.100000000000001" customHeight="1" x14ac:dyDescent="0.2">
      <c r="A485" s="129" t="s">
        <v>359</v>
      </c>
      <c r="B485" s="257" t="str">
        <f>VLOOKUP(A485,ORÇAMENTO!B:K,2,FALSE)</f>
        <v>ALVENARIA E REVESTIMENTO</v>
      </c>
      <c r="C485" s="258"/>
      <c r="D485" s="258"/>
      <c r="E485" s="258"/>
      <c r="F485" s="258"/>
      <c r="G485" s="258"/>
      <c r="H485" s="258"/>
      <c r="I485" s="258"/>
      <c r="J485" s="259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</row>
    <row r="486" spans="1:85" s="1" customFormat="1" ht="14.25" customHeight="1" x14ac:dyDescent="0.25">
      <c r="A486" s="266"/>
      <c r="B486" s="267"/>
      <c r="C486" s="267"/>
      <c r="D486" s="267"/>
      <c r="E486" s="267"/>
      <c r="F486" s="267"/>
      <c r="G486" s="267"/>
      <c r="H486" s="267"/>
      <c r="I486" s="267"/>
      <c r="J486" s="26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</row>
    <row r="487" spans="1:85" s="1" customFormat="1" ht="49.7" customHeight="1" x14ac:dyDescent="0.2">
      <c r="A487" s="121" t="s">
        <v>407</v>
      </c>
      <c r="B487" s="40" t="s">
        <v>16</v>
      </c>
      <c r="C487" s="226" t="str">
        <f>VLOOKUP(A487,ORÇAMENTO!B:K,4,FALSE)</f>
        <v>APLICAÇÃO DE GRAUTE FLUIDO INDUSTRIALIZADO, PARA ANCORAGENS E/OU RECUPERAÇÃO EM PEÇAS ESTRUTURAIS E USO EM GERAL, INCLUSIVE PREPARO EM BETONEIRA E LANÇAMENTO</v>
      </c>
      <c r="D487" s="227"/>
      <c r="E487" s="227"/>
      <c r="F487" s="227"/>
      <c r="G487" s="227"/>
      <c r="H487" s="41" t="str">
        <f>VLOOKUP(A487,ORÇAMENTO!B:K,2,FALSE)</f>
        <v>SETOP</v>
      </c>
      <c r="I487" s="41" t="str">
        <f>VLOOKUP(A487,ORÇAMENTO!B:K,5,FALSE)</f>
        <v>m3</v>
      </c>
      <c r="J487" s="122">
        <f>J492</f>
        <v>0.14000000000000001</v>
      </c>
      <c r="K487" s="1" t="s">
        <v>269</v>
      </c>
    </row>
    <row r="488" spans="1:85" s="1" customFormat="1" ht="14.25" customHeight="1" x14ac:dyDescent="0.2">
      <c r="A488" s="238"/>
      <c r="B488" s="239"/>
      <c r="C488" s="228"/>
      <c r="D488" s="228" t="s">
        <v>3</v>
      </c>
      <c r="E488" s="230" t="s">
        <v>2</v>
      </c>
      <c r="F488" s="230" t="s">
        <v>0</v>
      </c>
      <c r="G488" s="232"/>
      <c r="H488" s="230"/>
      <c r="I488" s="230"/>
      <c r="J488" s="234" t="s">
        <v>273</v>
      </c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</row>
    <row r="489" spans="1:85" s="1" customFormat="1" ht="14.25" customHeight="1" x14ac:dyDescent="0.2">
      <c r="A489" s="240"/>
      <c r="B489" s="241"/>
      <c r="C489" s="229"/>
      <c r="D489" s="229"/>
      <c r="E489" s="231"/>
      <c r="F489" s="231"/>
      <c r="G489" s="233"/>
      <c r="H489" s="231"/>
      <c r="I489" s="231"/>
      <c r="J489" s="234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</row>
    <row r="490" spans="1:85" s="1" customFormat="1" ht="15" x14ac:dyDescent="0.2">
      <c r="A490" s="243" t="s">
        <v>402</v>
      </c>
      <c r="B490" s="244"/>
      <c r="C490" s="4"/>
      <c r="D490" s="4">
        <f>(0.3+0.2)*1</f>
        <v>0.5</v>
      </c>
      <c r="E490" s="7">
        <v>0.04</v>
      </c>
      <c r="F490" s="7">
        <v>1</v>
      </c>
      <c r="G490" s="7"/>
      <c r="H490" s="23"/>
      <c r="I490" s="23"/>
      <c r="J490" s="123">
        <f>PRODUCT(D490:I490)</f>
        <v>0.02</v>
      </c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</row>
    <row r="491" spans="1:85" s="1" customFormat="1" ht="15" x14ac:dyDescent="0.2">
      <c r="A491" s="243" t="s">
        <v>403</v>
      </c>
      <c r="B491" s="244"/>
      <c r="C491" s="4"/>
      <c r="D491" s="4">
        <v>3.07</v>
      </c>
      <c r="E491" s="7">
        <v>0.04</v>
      </c>
      <c r="F491" s="7">
        <v>1</v>
      </c>
      <c r="G491" s="7"/>
      <c r="H491" s="23"/>
      <c r="I491" s="23"/>
      <c r="J491" s="123">
        <f>PRODUCT(D491:I491)</f>
        <v>0.12279999999999999</v>
      </c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</row>
    <row r="492" spans="1:85" s="1" customFormat="1" ht="15" x14ac:dyDescent="0.25">
      <c r="A492" s="235" t="s">
        <v>1</v>
      </c>
      <c r="B492" s="236"/>
      <c r="C492" s="236"/>
      <c r="D492" s="236"/>
      <c r="E492" s="236"/>
      <c r="F492" s="236"/>
      <c r="G492" s="236"/>
      <c r="H492" s="236"/>
      <c r="I492" s="237"/>
      <c r="J492" s="125">
        <f>ROUND(SUM(J490:J491),2)</f>
        <v>0.14000000000000001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</row>
    <row r="493" spans="1:85" s="1" customFormat="1" ht="15" x14ac:dyDescent="0.25">
      <c r="A493" s="124"/>
      <c r="B493" s="25"/>
      <c r="C493" s="8"/>
      <c r="D493" s="8"/>
      <c r="E493" s="8"/>
      <c r="F493" s="8"/>
      <c r="G493" s="8"/>
      <c r="H493" s="5"/>
      <c r="I493" s="5"/>
      <c r="J493" s="126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</row>
    <row r="494" spans="1:85" s="1" customFormat="1" ht="49.7" customHeight="1" x14ac:dyDescent="0.2">
      <c r="A494" s="121" t="s">
        <v>360</v>
      </c>
      <c r="B494" s="40" t="s">
        <v>16</v>
      </c>
      <c r="C494" s="226" t="str">
        <f>VLOOKUP(A494,ORÇAMENTO!B:K,4,FALSE)</f>
        <v>ALVENARIA DE BLOCOS DE CONCRETO ESTRUTURAL 14X19X29 CM (ESPESSURA 14 CM), FBK = 14 MPA, UTILIZANDO COLHER DE PEDREIRO. AF_10/2022</v>
      </c>
      <c r="D494" s="227"/>
      <c r="E494" s="227"/>
      <c r="F494" s="227"/>
      <c r="G494" s="227"/>
      <c r="H494" s="41" t="str">
        <f>VLOOKUP(A494,ORÇAMENTO!B:K,2,FALSE)</f>
        <v>SINAPI</v>
      </c>
      <c r="I494" s="41" t="str">
        <f>VLOOKUP(A494,ORÇAMENTO!B:K,5,FALSE)</f>
        <v>M2</v>
      </c>
      <c r="J494" s="122">
        <f>J498</f>
        <v>0.91</v>
      </c>
    </row>
    <row r="495" spans="1:85" s="1" customFormat="1" ht="14.25" customHeight="1" x14ac:dyDescent="0.2">
      <c r="A495" s="238"/>
      <c r="B495" s="239"/>
      <c r="C495" s="228"/>
      <c r="D495" s="228" t="s">
        <v>43</v>
      </c>
      <c r="E495" s="230" t="s">
        <v>44</v>
      </c>
      <c r="F495" s="230" t="s">
        <v>0</v>
      </c>
      <c r="G495" s="232"/>
      <c r="H495" s="230"/>
      <c r="I495" s="230"/>
      <c r="J495" s="234" t="s">
        <v>39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</row>
    <row r="496" spans="1:85" s="1" customFormat="1" ht="14.25" customHeight="1" x14ac:dyDescent="0.2">
      <c r="A496" s="240"/>
      <c r="B496" s="241"/>
      <c r="C496" s="229"/>
      <c r="D496" s="229"/>
      <c r="E496" s="231"/>
      <c r="F496" s="231"/>
      <c r="G496" s="233"/>
      <c r="H496" s="231"/>
      <c r="I496" s="231"/>
      <c r="J496" s="234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</row>
    <row r="497" spans="1:85" s="1" customFormat="1" ht="15" x14ac:dyDescent="0.2">
      <c r="A497" s="243" t="s">
        <v>119</v>
      </c>
      <c r="B497" s="244"/>
      <c r="C497" s="9"/>
      <c r="D497" s="4">
        <v>1.2</v>
      </c>
      <c r="E497" s="7">
        <v>0.19</v>
      </c>
      <c r="F497" s="7">
        <v>4</v>
      </c>
      <c r="G497" s="7"/>
      <c r="H497" s="23"/>
      <c r="I497" s="23"/>
      <c r="J497" s="123">
        <f>PRODUCT(D497:I497)</f>
        <v>0.91199999999999992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</row>
    <row r="498" spans="1:85" s="1" customFormat="1" ht="15" x14ac:dyDescent="0.25">
      <c r="A498" s="235"/>
      <c r="B498" s="236"/>
      <c r="C498" s="236"/>
      <c r="D498" s="236"/>
      <c r="E498" s="236"/>
      <c r="F498" s="236"/>
      <c r="G498" s="236"/>
      <c r="H498" s="236"/>
      <c r="I498" s="237"/>
      <c r="J498" s="125">
        <f>ROUND(SUM(J497:J497),2)</f>
        <v>0.91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</row>
    <row r="499" spans="1:85" s="1" customFormat="1" ht="15" x14ac:dyDescent="0.25">
      <c r="A499" s="124"/>
      <c r="B499" s="25"/>
      <c r="C499" s="8"/>
      <c r="D499" s="8"/>
      <c r="E499" s="8"/>
      <c r="F499" s="8"/>
      <c r="G499" s="8"/>
      <c r="H499" s="5"/>
      <c r="I499" s="5"/>
      <c r="J499" s="126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</row>
    <row r="500" spans="1:85" s="1" customFormat="1" ht="49.7" customHeight="1" x14ac:dyDescent="0.2">
      <c r="A500" s="121" t="s">
        <v>361</v>
      </c>
      <c r="B500" s="40" t="s">
        <v>16</v>
      </c>
      <c r="C500" s="226" t="str">
        <f>VLOOKUP(A500,ORÇAMENTO!B:K,4,FALSE)</f>
        <v>CHAPISCO APLICADO EM ALVENARIA (COM PRESENÇA DE VÃOS) E ESTRUTURAS DE CONCRETO DE FACHADA, COM COLHER DE PEDREIRO. ARGAMASSA TRAÇO 1:3 COM PREPARO EM BETONEIRA 400L. AF_10/2022</v>
      </c>
      <c r="D500" s="227"/>
      <c r="E500" s="227"/>
      <c r="F500" s="227"/>
      <c r="G500" s="227"/>
      <c r="H500" s="41" t="str">
        <f>VLOOKUP(A500,ORÇAMENTO!B:K,2,FALSE)</f>
        <v>SINAPI</v>
      </c>
      <c r="I500" s="41" t="str">
        <f>VLOOKUP(A500,ORÇAMENTO!B:K,5,FALSE)</f>
        <v>M2</v>
      </c>
      <c r="J500" s="122">
        <f>J505</f>
        <v>43.65</v>
      </c>
    </row>
    <row r="501" spans="1:85" s="1" customFormat="1" ht="14.25" customHeight="1" x14ac:dyDescent="0.2">
      <c r="A501" s="238"/>
      <c r="B501" s="239"/>
      <c r="C501" s="228"/>
      <c r="D501" s="228" t="s">
        <v>43</v>
      </c>
      <c r="E501" s="230" t="s">
        <v>44</v>
      </c>
      <c r="F501" s="232" t="s">
        <v>0</v>
      </c>
      <c r="G501" s="232" t="s">
        <v>427</v>
      </c>
      <c r="H501" s="230"/>
      <c r="I501" s="230"/>
      <c r="J501" s="234" t="s">
        <v>39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</row>
    <row r="502" spans="1:85" s="1" customFormat="1" ht="14.25" customHeight="1" x14ac:dyDescent="0.2">
      <c r="A502" s="240"/>
      <c r="B502" s="241"/>
      <c r="C502" s="229"/>
      <c r="D502" s="229"/>
      <c r="E502" s="231"/>
      <c r="F502" s="233"/>
      <c r="G502" s="233"/>
      <c r="H502" s="231"/>
      <c r="I502" s="231"/>
      <c r="J502" s="234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</row>
    <row r="503" spans="1:85" s="1" customFormat="1" ht="15" x14ac:dyDescent="0.2">
      <c r="A503" s="243" t="s">
        <v>425</v>
      </c>
      <c r="B503" s="244"/>
      <c r="C503" s="9"/>
      <c r="D503" s="4">
        <v>1.2</v>
      </c>
      <c r="E503" s="7">
        <v>0.18</v>
      </c>
      <c r="F503" s="7">
        <v>4</v>
      </c>
      <c r="G503" s="7"/>
      <c r="H503" s="23"/>
      <c r="I503" s="23"/>
      <c r="J503" s="123">
        <f>PRODUCT(D503:I503)</f>
        <v>0.86399999999999999</v>
      </c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</row>
    <row r="504" spans="1:85" s="1" customFormat="1" ht="15" x14ac:dyDescent="0.2">
      <c r="A504" s="243" t="s">
        <v>292</v>
      </c>
      <c r="B504" s="244"/>
      <c r="C504" s="4" t="s">
        <v>404</v>
      </c>
      <c r="D504" s="7">
        <f>0.9+0.23+1.05</f>
        <v>2.1800000000000002</v>
      </c>
      <c r="E504" s="7">
        <v>10</v>
      </c>
      <c r="F504" s="7">
        <v>2</v>
      </c>
      <c r="G504" s="7">
        <v>0.81</v>
      </c>
      <c r="H504" s="24"/>
      <c r="I504" s="3"/>
      <c r="J504" s="123">
        <f>(D504*E504*F504)-G504</f>
        <v>42.79</v>
      </c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</row>
    <row r="505" spans="1:85" s="1" customFormat="1" ht="15" x14ac:dyDescent="0.25">
      <c r="A505" s="235"/>
      <c r="B505" s="236"/>
      <c r="C505" s="236"/>
      <c r="D505" s="236"/>
      <c r="E505" s="236"/>
      <c r="F505" s="236"/>
      <c r="G505" s="236"/>
      <c r="H505" s="236"/>
      <c r="I505" s="237"/>
      <c r="J505" s="125">
        <f>ROUND(SUM(J503:J504),2)</f>
        <v>43.65</v>
      </c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</row>
    <row r="506" spans="1:85" s="1" customFormat="1" ht="15" x14ac:dyDescent="0.25">
      <c r="A506" s="124"/>
      <c r="B506" s="25"/>
      <c r="C506" s="8"/>
      <c r="D506" s="8"/>
      <c r="E506" s="8"/>
      <c r="F506" s="8"/>
      <c r="G506" s="8"/>
      <c r="H506" s="5"/>
      <c r="I506" s="5"/>
      <c r="J506" s="126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</row>
    <row r="507" spans="1:85" s="1" customFormat="1" ht="49.7" customHeight="1" x14ac:dyDescent="0.2">
      <c r="A507" s="121" t="s">
        <v>362</v>
      </c>
      <c r="B507" s="40" t="s">
        <v>16</v>
      </c>
      <c r="C507" s="226" t="str">
        <f>VLOOKUP(A507,ORÇAMENTO!B:K,4,FALSE)</f>
        <v>REBOCO COM ARGAMASSA, TRAÇO 1:2:8 (CIMENTO, CAL E AREIA), ESP. 20MM, APLICAÇÃO MANUAL, INCLUSIVE ARGAMASSA COM PREPARO MECANIZADO, EXCLUSIVE CHAPISCO</v>
      </c>
      <c r="D507" s="227"/>
      <c r="E507" s="227"/>
      <c r="F507" s="227"/>
      <c r="G507" s="227"/>
      <c r="H507" s="41" t="str">
        <f>VLOOKUP(A507,ORÇAMENTO!B:K,2,FALSE)</f>
        <v>SETOP</v>
      </c>
      <c r="I507" s="41" t="str">
        <f>VLOOKUP(A507,ORÇAMENTO!B:K,5,FALSE)</f>
        <v>m2</v>
      </c>
      <c r="J507" s="122">
        <f>J512</f>
        <v>43.65</v>
      </c>
      <c r="K507" s="1" t="s">
        <v>269</v>
      </c>
    </row>
    <row r="508" spans="1:85" s="1" customFormat="1" ht="14.25" customHeight="1" x14ac:dyDescent="0.2">
      <c r="A508" s="238"/>
      <c r="B508" s="239"/>
      <c r="C508" s="228"/>
      <c r="D508" s="228" t="s">
        <v>43</v>
      </c>
      <c r="E508" s="230" t="s">
        <v>44</v>
      </c>
      <c r="F508" s="232" t="s">
        <v>0</v>
      </c>
      <c r="G508" s="232" t="s">
        <v>427</v>
      </c>
      <c r="H508" s="230"/>
      <c r="I508" s="230"/>
      <c r="J508" s="234" t="s">
        <v>39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</row>
    <row r="509" spans="1:85" s="1" customFormat="1" ht="14.25" customHeight="1" x14ac:dyDescent="0.2">
      <c r="A509" s="240"/>
      <c r="B509" s="241"/>
      <c r="C509" s="229"/>
      <c r="D509" s="229"/>
      <c r="E509" s="231"/>
      <c r="F509" s="233"/>
      <c r="G509" s="233"/>
      <c r="H509" s="231"/>
      <c r="I509" s="231"/>
      <c r="J509" s="234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</row>
    <row r="510" spans="1:85" s="1" customFormat="1" ht="15" x14ac:dyDescent="0.2">
      <c r="A510" s="243" t="s">
        <v>270</v>
      </c>
      <c r="B510" s="244"/>
      <c r="C510" s="4" t="s">
        <v>404</v>
      </c>
      <c r="D510" s="7">
        <f>0.9+0.23+1.05</f>
        <v>2.1800000000000002</v>
      </c>
      <c r="E510" s="7">
        <v>10</v>
      </c>
      <c r="F510" s="7">
        <v>2</v>
      </c>
      <c r="G510" s="7">
        <v>0.81</v>
      </c>
      <c r="H510" s="24"/>
      <c r="I510" s="3"/>
      <c r="J510" s="123">
        <f>(D510*E510*F510)-G510</f>
        <v>42.79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</row>
    <row r="511" spans="1:85" s="1" customFormat="1" ht="15" x14ac:dyDescent="0.2">
      <c r="A511" s="243" t="s">
        <v>425</v>
      </c>
      <c r="B511" s="244"/>
      <c r="C511" s="9"/>
      <c r="D511" s="4">
        <v>1.2</v>
      </c>
      <c r="E511" s="7">
        <v>0.18</v>
      </c>
      <c r="F511" s="7">
        <v>4</v>
      </c>
      <c r="G511" s="7"/>
      <c r="H511" s="23"/>
      <c r="I511" s="23"/>
      <c r="J511" s="123">
        <f>PRODUCT(D511:I511)</f>
        <v>0.86399999999999999</v>
      </c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</row>
    <row r="512" spans="1:85" s="1" customFormat="1" ht="15" x14ac:dyDescent="0.25">
      <c r="A512" s="235" t="s">
        <v>1</v>
      </c>
      <c r="B512" s="236"/>
      <c r="C512" s="236"/>
      <c r="D512" s="236"/>
      <c r="E512" s="236"/>
      <c r="F512" s="236"/>
      <c r="G512" s="236"/>
      <c r="H512" s="236"/>
      <c r="I512" s="237"/>
      <c r="J512" s="125">
        <f>ROUND(SUM(J510:J511),2)</f>
        <v>43.65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</row>
    <row r="513" spans="1:85" s="1" customFormat="1" ht="15" x14ac:dyDescent="0.25">
      <c r="A513" s="124"/>
      <c r="B513" s="25"/>
      <c r="C513" s="8"/>
      <c r="D513" s="8"/>
      <c r="E513" s="8"/>
      <c r="F513" s="8"/>
      <c r="G513" s="8"/>
      <c r="H513" s="5"/>
      <c r="I513" s="5"/>
      <c r="J513" s="1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</row>
    <row r="514" spans="1:85" s="1" customFormat="1" ht="49.7" customHeight="1" x14ac:dyDescent="0.2">
      <c r="A514" s="121" t="s">
        <v>422</v>
      </c>
      <c r="B514" s="40" t="s">
        <v>16</v>
      </c>
      <c r="C514" s="226" t="str">
        <f>VLOOKUP(A514,ORÇAMENTO!B:K,4,FALSE)</f>
        <v>REBOCO COM ARGAMASSA, TRAÇO 1:2:9 (CIMENTO, CAL E AREIA), COM ADITIVO IMPERMEABILIZANTE, ESP. 20MM, APLICAÇÃO MANUAL, INCLUSIVE ARGAMASSA COM PREPARO MECANIZADO, EXCLUSIVE CHAPISCO</v>
      </c>
      <c r="D514" s="227"/>
      <c r="E514" s="227"/>
      <c r="F514" s="227"/>
      <c r="G514" s="227"/>
      <c r="H514" s="41" t="str">
        <f>VLOOKUP(A514,ORÇAMENTO!B:K,2,FALSE)</f>
        <v>SETOP</v>
      </c>
      <c r="I514" s="41" t="str">
        <f>VLOOKUP(A514,ORÇAMENTO!B:K,5,FALSE)</f>
        <v>M2</v>
      </c>
      <c r="J514" s="122">
        <f>J518</f>
        <v>1.68</v>
      </c>
      <c r="K514" s="1" t="s">
        <v>269</v>
      </c>
    </row>
    <row r="515" spans="1:85" s="1" customFormat="1" ht="14.25" customHeight="1" x14ac:dyDescent="0.2">
      <c r="A515" s="238"/>
      <c r="B515" s="263"/>
      <c r="C515" s="232"/>
      <c r="D515" s="228" t="s">
        <v>44</v>
      </c>
      <c r="E515" s="232" t="s">
        <v>43</v>
      </c>
      <c r="F515" s="232" t="s">
        <v>0</v>
      </c>
      <c r="G515" s="232"/>
      <c r="H515" s="242"/>
      <c r="I515" s="230"/>
      <c r="J515" s="234" t="s">
        <v>39</v>
      </c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</row>
    <row r="516" spans="1:85" s="1" customFormat="1" ht="14.25" customHeight="1" x14ac:dyDescent="0.2">
      <c r="A516" s="264"/>
      <c r="B516" s="265"/>
      <c r="C516" s="233"/>
      <c r="D516" s="229"/>
      <c r="E516" s="233"/>
      <c r="F516" s="233"/>
      <c r="G516" s="233"/>
      <c r="H516" s="242"/>
      <c r="I516" s="231"/>
      <c r="J516" s="234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</row>
    <row r="517" spans="1:85" s="1" customFormat="1" ht="14.25" customHeight="1" x14ac:dyDescent="0.2">
      <c r="A517" s="243" t="s">
        <v>402</v>
      </c>
      <c r="B517" s="244"/>
      <c r="C517" s="9"/>
      <c r="D517" s="4">
        <v>0.7</v>
      </c>
      <c r="E517" s="7">
        <v>1.2</v>
      </c>
      <c r="F517" s="7">
        <v>2</v>
      </c>
      <c r="G517" s="91"/>
      <c r="H517" s="24"/>
      <c r="I517" s="93"/>
      <c r="J517" s="123">
        <f>PRODUCT(D517:I517)</f>
        <v>1.68</v>
      </c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</row>
    <row r="518" spans="1:85" s="1" customFormat="1" ht="15" x14ac:dyDescent="0.25">
      <c r="A518" s="235" t="s">
        <v>1</v>
      </c>
      <c r="B518" s="236"/>
      <c r="C518" s="236"/>
      <c r="D518" s="236"/>
      <c r="E518" s="236"/>
      <c r="F518" s="236"/>
      <c r="G518" s="236"/>
      <c r="H518" s="236"/>
      <c r="I518" s="237"/>
      <c r="J518" s="125">
        <f>ROUND(SUM(J517:J517),2)</f>
        <v>1.68</v>
      </c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</row>
    <row r="519" spans="1:85" s="1" customFormat="1" ht="15" x14ac:dyDescent="0.25">
      <c r="A519" s="124"/>
      <c r="B519" s="25"/>
      <c r="C519" s="8"/>
      <c r="D519" s="8"/>
      <c r="E519" s="8"/>
      <c r="F519" s="8"/>
      <c r="G519" s="8"/>
      <c r="H519" s="5"/>
      <c r="I519" s="5"/>
      <c r="J519" s="126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</row>
    <row r="520" spans="1:85" s="1" customFormat="1" ht="49.7" customHeight="1" x14ac:dyDescent="0.2">
      <c r="A520" s="121" t="s">
        <v>423</v>
      </c>
      <c r="B520" s="40" t="s">
        <v>16</v>
      </c>
      <c r="C520" s="226" t="str">
        <f>VLOOKUP(A520,ORÇAMENTO!B:K,4,FALSE)</f>
        <v>EXECUÇÃO DE PASSEIO (CALÇADA) OU PISO DE CONCRETO COM CONCRETO MOLDADO IN LOCO, FEITO EM OBRA, ACABAMENTO CONVENCIONAL, NÃO ARMADO. AF_08/2022</v>
      </c>
      <c r="D520" s="227"/>
      <c r="E520" s="227"/>
      <c r="F520" s="227"/>
      <c r="G520" s="227"/>
      <c r="H520" s="41" t="str">
        <f>VLOOKUP(A520,ORÇAMENTO!B:K,2,FALSE)</f>
        <v>SINAPI</v>
      </c>
      <c r="I520" s="41" t="str">
        <f>VLOOKUP(A520,ORÇAMENTO!B:K,5,FALSE)</f>
        <v>M3</v>
      </c>
      <c r="J520" s="122">
        <f>J525</f>
        <v>0.19</v>
      </c>
    </row>
    <row r="521" spans="1:85" s="1" customFormat="1" ht="14.25" customHeight="1" x14ac:dyDescent="0.2">
      <c r="A521" s="238"/>
      <c r="B521" s="263"/>
      <c r="C521" s="232"/>
      <c r="D521" s="232" t="s">
        <v>43</v>
      </c>
      <c r="E521" s="232" t="s">
        <v>272</v>
      </c>
      <c r="F521" s="232" t="s">
        <v>2</v>
      </c>
      <c r="G521" s="232" t="s">
        <v>0</v>
      </c>
      <c r="H521" s="242"/>
      <c r="I521" s="230"/>
      <c r="J521" s="234" t="s">
        <v>39</v>
      </c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</row>
    <row r="522" spans="1:85" s="1" customFormat="1" ht="14.25" customHeight="1" x14ac:dyDescent="0.2">
      <c r="A522" s="264"/>
      <c r="B522" s="265"/>
      <c r="C522" s="233"/>
      <c r="D522" s="233"/>
      <c r="E522" s="233"/>
      <c r="F522" s="233"/>
      <c r="G522" s="233"/>
      <c r="H522" s="242"/>
      <c r="I522" s="231"/>
      <c r="J522" s="234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</row>
    <row r="523" spans="1:85" s="1" customFormat="1" ht="15" x14ac:dyDescent="0.2">
      <c r="A523" s="243" t="s">
        <v>421</v>
      </c>
      <c r="B523" s="244"/>
      <c r="C523" s="4"/>
      <c r="D523" s="7">
        <v>1.2</v>
      </c>
      <c r="E523" s="7">
        <v>0.83</v>
      </c>
      <c r="F523" s="7">
        <v>0.06</v>
      </c>
      <c r="G523" s="7">
        <v>1</v>
      </c>
      <c r="H523" s="24"/>
      <c r="I523" s="3"/>
      <c r="J523" s="123">
        <f>PRODUCT(D523:I523)</f>
        <v>5.9759999999999994E-2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</row>
    <row r="524" spans="1:85" s="1" customFormat="1" ht="15" x14ac:dyDescent="0.2">
      <c r="A524" s="243" t="s">
        <v>426</v>
      </c>
      <c r="B524" s="244"/>
      <c r="C524" s="4"/>
      <c r="D524" s="7">
        <v>1.2</v>
      </c>
      <c r="E524" s="7">
        <v>0.44</v>
      </c>
      <c r="F524" s="7">
        <v>0.06</v>
      </c>
      <c r="G524" s="7">
        <v>4</v>
      </c>
      <c r="H524" s="24"/>
      <c r="I524" s="3"/>
      <c r="J524" s="123">
        <f>PRODUCT(D524:I524)</f>
        <v>0.12672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</row>
    <row r="525" spans="1:85" s="1" customFormat="1" ht="15" x14ac:dyDescent="0.25">
      <c r="A525" s="235" t="s">
        <v>1</v>
      </c>
      <c r="B525" s="236"/>
      <c r="C525" s="236"/>
      <c r="D525" s="236"/>
      <c r="E525" s="236"/>
      <c r="F525" s="236"/>
      <c r="G525" s="236"/>
      <c r="H525" s="236"/>
      <c r="I525" s="237"/>
      <c r="J525" s="125">
        <f>ROUND(SUM(J523:J524),2)</f>
        <v>0.19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</row>
    <row r="526" spans="1:85" s="1" customFormat="1" ht="15" x14ac:dyDescent="0.25">
      <c r="A526" s="124"/>
      <c r="B526" s="25"/>
      <c r="C526" s="8"/>
      <c r="D526" s="8"/>
      <c r="E526" s="8"/>
      <c r="F526" s="8"/>
      <c r="G526" s="8"/>
      <c r="H526" s="5"/>
      <c r="I526" s="5"/>
      <c r="J526" s="126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</row>
    <row r="527" spans="1:85" s="1" customFormat="1" ht="20.100000000000001" customHeight="1" x14ac:dyDescent="0.2">
      <c r="A527" s="129" t="s">
        <v>363</v>
      </c>
      <c r="B527" s="257" t="str">
        <f>VLOOKUP(A527,ORÇAMENTO!B:K,2,FALSE)</f>
        <v xml:space="preserve">ESQUADRIAS </v>
      </c>
      <c r="C527" s="258"/>
      <c r="D527" s="258"/>
      <c r="E527" s="258"/>
      <c r="F527" s="258"/>
      <c r="G527" s="258"/>
      <c r="H527" s="258"/>
      <c r="I527" s="258"/>
      <c r="J527" s="259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</row>
    <row r="528" spans="1:85" s="1" customFormat="1" ht="15" x14ac:dyDescent="0.25">
      <c r="A528" s="130"/>
      <c r="B528" s="26"/>
      <c r="C528" s="12"/>
      <c r="D528" s="12"/>
      <c r="E528" s="12"/>
      <c r="F528" s="12"/>
      <c r="G528" s="12"/>
      <c r="H528" s="26"/>
      <c r="I528" s="26"/>
      <c r="J528" s="131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</row>
    <row r="529" spans="1:85" s="1" customFormat="1" ht="49.7" customHeight="1" x14ac:dyDescent="0.2">
      <c r="A529" s="121" t="s">
        <v>364</v>
      </c>
      <c r="B529" s="40" t="s">
        <v>16</v>
      </c>
      <c r="C529" s="226" t="str">
        <f>VLOOKUP(A529,ORÇAMENTO!B:K,4,FALSE)</f>
        <v>PORTA METÁLICA, TIPO DE ABRIR, COM UMA (1) FOLHA, EM CHAPA GALVANIZADA LAMBRIL, MODELO QUADRADO, INCLUSIVE PINTURA ANTICORROSIVA A BASE DE ÓXIDO DE FERRO (ZARCÃO), UMA (1) DEMÃO, FORNECIMENTO E ASSENTAMENTO, EXCLUSIVE FECHADURA E DOBRADIÇA</v>
      </c>
      <c r="D529" s="227"/>
      <c r="E529" s="227"/>
      <c r="F529" s="227"/>
      <c r="G529" s="227"/>
      <c r="H529" s="41" t="str">
        <f>VLOOKUP(A529,ORÇAMENTO!B:K,2,FALSE)</f>
        <v>SETOP</v>
      </c>
      <c r="I529" s="41" t="str">
        <f>VLOOKUP(A529,ORÇAMENTO!B:K,5,FALSE)</f>
        <v>m2</v>
      </c>
      <c r="J529" s="122">
        <f>J533</f>
        <v>2.58</v>
      </c>
      <c r="K529" s="1" t="s">
        <v>269</v>
      </c>
    </row>
    <row r="530" spans="1:85" s="1" customFormat="1" ht="14.25" customHeight="1" x14ac:dyDescent="0.2">
      <c r="A530" s="248"/>
      <c r="B530" s="249"/>
      <c r="C530" s="242"/>
      <c r="D530" s="228" t="s">
        <v>43</v>
      </c>
      <c r="E530" s="230" t="s">
        <v>44</v>
      </c>
      <c r="F530" s="232" t="s">
        <v>0</v>
      </c>
      <c r="G530" s="230"/>
      <c r="H530" s="230"/>
      <c r="I530" s="230"/>
      <c r="J530" s="234" t="s">
        <v>39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</row>
    <row r="531" spans="1:85" s="1" customFormat="1" ht="14.25" customHeight="1" x14ac:dyDescent="0.2">
      <c r="A531" s="248"/>
      <c r="B531" s="249"/>
      <c r="C531" s="242"/>
      <c r="D531" s="229"/>
      <c r="E531" s="231"/>
      <c r="F531" s="233"/>
      <c r="G531" s="231"/>
      <c r="H531" s="231"/>
      <c r="I531" s="231"/>
      <c r="J531" s="234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</row>
    <row r="532" spans="1:85" s="1" customFormat="1" ht="15" x14ac:dyDescent="0.2">
      <c r="A532" s="243" t="s">
        <v>102</v>
      </c>
      <c r="B532" s="244"/>
      <c r="C532" s="9" t="s">
        <v>99</v>
      </c>
      <c r="D532" s="4">
        <v>1.2</v>
      </c>
      <c r="E532" s="4">
        <v>2.15</v>
      </c>
      <c r="F532" s="7">
        <v>1</v>
      </c>
      <c r="G532" s="3"/>
      <c r="H532" s="3"/>
      <c r="I532" s="3"/>
      <c r="J532" s="123">
        <f>PRODUCT(D532:I532)</f>
        <v>2.5799999999999996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</row>
    <row r="533" spans="1:85" s="1" customFormat="1" ht="15" x14ac:dyDescent="0.25">
      <c r="A533" s="245" t="s">
        <v>1</v>
      </c>
      <c r="B533" s="246"/>
      <c r="C533" s="246"/>
      <c r="D533" s="246"/>
      <c r="E533" s="246"/>
      <c r="F533" s="246"/>
      <c r="G533" s="246"/>
      <c r="H533" s="246"/>
      <c r="I533" s="247"/>
      <c r="J533" s="125">
        <f>ROUND(SUM(J532:J532),2)</f>
        <v>2.58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</row>
    <row r="534" spans="1:85" s="1" customFormat="1" ht="15" customHeight="1" x14ac:dyDescent="0.2">
      <c r="A534" s="260"/>
      <c r="B534" s="261"/>
      <c r="C534" s="261"/>
      <c r="D534" s="261"/>
      <c r="E534" s="261"/>
      <c r="F534" s="261"/>
      <c r="G534" s="261"/>
      <c r="H534" s="261"/>
      <c r="I534" s="261"/>
      <c r="J534" s="26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</row>
    <row r="535" spans="1:85" s="1" customFormat="1" ht="57.75" customHeight="1" x14ac:dyDescent="0.2">
      <c r="A535" s="121" t="s">
        <v>365</v>
      </c>
      <c r="B535" s="40" t="s">
        <v>16</v>
      </c>
      <c r="C535" s="226" t="str">
        <f>VLOOKUP(A535,ORÇAMENTO!B:K,4,FALSE)</f>
        <v>FERRAGENS PARA PORTA METÁLICA, DE ABRIR, COM UMA (1) FOLHAS, INCLUSIVE FECHADURA TIPO EXTERNA COM GRAU DE SEGURANÇA MÉDIO, ACABAMENTO EM ESPELHO CROMADO COM MAÇANETA MODELO ALAVANCA EM ZAMAC E DOBRADIÇA DE FERRO, MEDIDAS (3"X2.1/2"), TIPO PINO SOLTO COM BOLA, ACABAMENTO CROMADO, FORNECIMENTO, ACESSÓRIOS E INSTALAÇÃO, EXCLUSIVE PORTA METÁLICA</v>
      </c>
      <c r="D535" s="227"/>
      <c r="E535" s="227"/>
      <c r="F535" s="227"/>
      <c r="G535" s="227"/>
      <c r="H535" s="41" t="str">
        <f>VLOOKUP(A535,ORÇAMENTO!B:K,2,FALSE)</f>
        <v>SETOP</v>
      </c>
      <c r="I535" s="41" t="str">
        <f>VLOOKUP(A535,ORÇAMENTO!B:K,5,FALSE)</f>
        <v>un</v>
      </c>
      <c r="J535" s="122">
        <f>J539</f>
        <v>1</v>
      </c>
      <c r="K535" s="1" t="s">
        <v>269</v>
      </c>
    </row>
    <row r="536" spans="1:85" s="1" customFormat="1" ht="15" customHeight="1" x14ac:dyDescent="0.2">
      <c r="A536" s="248"/>
      <c r="B536" s="249"/>
      <c r="C536" s="242"/>
      <c r="D536" s="232" t="s">
        <v>40</v>
      </c>
      <c r="E536" s="230"/>
      <c r="F536" s="232"/>
      <c r="G536" s="230"/>
      <c r="H536" s="230"/>
      <c r="I536" s="230"/>
      <c r="J536" s="234" t="s">
        <v>65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</row>
    <row r="537" spans="1:85" s="1" customFormat="1" ht="14.25" customHeight="1" x14ac:dyDescent="0.2">
      <c r="A537" s="248"/>
      <c r="B537" s="249"/>
      <c r="C537" s="242"/>
      <c r="D537" s="233"/>
      <c r="E537" s="231"/>
      <c r="F537" s="233"/>
      <c r="G537" s="231"/>
      <c r="H537" s="231"/>
      <c r="I537" s="231"/>
      <c r="J537" s="234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</row>
    <row r="538" spans="1:85" s="1" customFormat="1" ht="14.25" customHeight="1" x14ac:dyDescent="0.2">
      <c r="A538" s="243" t="s">
        <v>102</v>
      </c>
      <c r="B538" s="244"/>
      <c r="C538" s="9" t="s">
        <v>99</v>
      </c>
      <c r="D538" s="7">
        <v>1</v>
      </c>
      <c r="E538" s="4"/>
      <c r="F538" s="7"/>
      <c r="G538" s="3"/>
      <c r="H538" s="3"/>
      <c r="I538" s="3"/>
      <c r="J538" s="123">
        <f>PRODUCT(D538:I538)</f>
        <v>1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</row>
    <row r="539" spans="1:85" s="1" customFormat="1" ht="15" x14ac:dyDescent="0.25">
      <c r="A539" s="245" t="s">
        <v>1</v>
      </c>
      <c r="B539" s="246"/>
      <c r="C539" s="246"/>
      <c r="D539" s="246"/>
      <c r="E539" s="246"/>
      <c r="F539" s="246"/>
      <c r="G539" s="246"/>
      <c r="H539" s="246"/>
      <c r="I539" s="247"/>
      <c r="J539" s="125">
        <f>ROUND(SUM(J538:J538),2)</f>
        <v>1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</row>
    <row r="540" spans="1:85" s="1" customFormat="1" x14ac:dyDescent="0.2">
      <c r="A540" s="260"/>
      <c r="B540" s="261"/>
      <c r="C540" s="261"/>
      <c r="D540" s="261"/>
      <c r="E540" s="261"/>
      <c r="F540" s="261"/>
      <c r="G540" s="261"/>
      <c r="H540" s="261"/>
      <c r="I540" s="261"/>
      <c r="J540" s="26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</row>
    <row r="541" spans="1:85" s="1" customFormat="1" ht="49.7" customHeight="1" x14ac:dyDescent="0.2">
      <c r="A541" s="121" t="s">
        <v>366</v>
      </c>
      <c r="B541" s="40" t="s">
        <v>16</v>
      </c>
      <c r="C541" s="226" t="str">
        <f>VLOOKUP(A541,ORÇAMENTO!B:K,4,FALSE)</f>
        <v>FORNECIMENTO DE JANELA DE CORRER EM FERRO, INCLUSIVE ASSENTAMENTO, FERRAGENS E ACESSÓRIOS</v>
      </c>
      <c r="D541" s="227"/>
      <c r="E541" s="227"/>
      <c r="F541" s="227"/>
      <c r="G541" s="227"/>
      <c r="H541" s="41" t="str">
        <f>VLOOKUP(A541,ORÇAMENTO!B:K,2,FALSE)</f>
        <v>SETOP</v>
      </c>
      <c r="I541" s="41" t="str">
        <f>VLOOKUP(A541,ORÇAMENTO!B:K,5,FALSE)</f>
        <v>m2</v>
      </c>
      <c r="J541" s="122">
        <f>J545</f>
        <v>4.8</v>
      </c>
      <c r="K541" s="1" t="s">
        <v>269</v>
      </c>
    </row>
    <row r="542" spans="1:85" s="1" customFormat="1" ht="15" customHeight="1" x14ac:dyDescent="0.2">
      <c r="A542" s="248"/>
      <c r="B542" s="249"/>
      <c r="C542" s="242"/>
      <c r="D542" s="228" t="s">
        <v>43</v>
      </c>
      <c r="E542" s="230" t="s">
        <v>44</v>
      </c>
      <c r="F542" s="232" t="s">
        <v>0</v>
      </c>
      <c r="G542" s="230"/>
      <c r="H542" s="230"/>
      <c r="I542" s="230"/>
      <c r="J542" s="234" t="s">
        <v>39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</row>
    <row r="543" spans="1:85" s="1" customFormat="1" ht="14.25" customHeight="1" x14ac:dyDescent="0.2">
      <c r="A543" s="248"/>
      <c r="B543" s="249"/>
      <c r="C543" s="242"/>
      <c r="D543" s="229"/>
      <c r="E543" s="231"/>
      <c r="F543" s="233"/>
      <c r="G543" s="231"/>
      <c r="H543" s="231"/>
      <c r="I543" s="231"/>
      <c r="J543" s="234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</row>
    <row r="544" spans="1:85" s="1" customFormat="1" ht="14.25" customHeight="1" x14ac:dyDescent="0.2">
      <c r="A544" s="243" t="s">
        <v>120</v>
      </c>
      <c r="B544" s="244"/>
      <c r="C544" s="9" t="s">
        <v>293</v>
      </c>
      <c r="D544" s="4">
        <v>2</v>
      </c>
      <c r="E544" s="4">
        <v>1.2</v>
      </c>
      <c r="F544" s="7">
        <v>2</v>
      </c>
      <c r="G544" s="3"/>
      <c r="H544" s="3"/>
      <c r="I544" s="3"/>
      <c r="J544" s="123">
        <f>PRODUCT(D544:I544)</f>
        <v>4.8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</row>
    <row r="545" spans="1:85" s="1" customFormat="1" ht="15" x14ac:dyDescent="0.25">
      <c r="A545" s="245" t="s">
        <v>1</v>
      </c>
      <c r="B545" s="246"/>
      <c r="C545" s="246"/>
      <c r="D545" s="246"/>
      <c r="E545" s="246"/>
      <c r="F545" s="246"/>
      <c r="G545" s="246"/>
      <c r="H545" s="246"/>
      <c r="I545" s="247"/>
      <c r="J545" s="125">
        <f>ROUND(SUM(J544:J544),2)</f>
        <v>4.8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</row>
    <row r="546" spans="1:85" s="1" customFormat="1" x14ac:dyDescent="0.2">
      <c r="A546" s="260"/>
      <c r="B546" s="261"/>
      <c r="C546" s="261"/>
      <c r="D546" s="261"/>
      <c r="E546" s="261"/>
      <c r="F546" s="261"/>
      <c r="G546" s="261"/>
      <c r="H546" s="261"/>
      <c r="I546" s="261"/>
      <c r="J546" s="26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</row>
    <row r="547" spans="1:85" s="1" customFormat="1" ht="62.25" customHeight="1" x14ac:dyDescent="0.2">
      <c r="A547" s="121" t="s">
        <v>367</v>
      </c>
      <c r="B547" s="40" t="s">
        <v>16</v>
      </c>
      <c r="C547" s="226" t="str">
        <f>VLOOKUP(A547,ORÇAMENTO!B:K,4,FALSE)</f>
        <v>PORTÃO DE GRADE EM BARRA REDONDA 1/2" E REQUADRO EM BARRA CHATA 1.1/4"X3/16", EXCLUSIVE CADEADO E PINTURA</v>
      </c>
      <c r="D547" s="227"/>
      <c r="E547" s="227"/>
      <c r="F547" s="227"/>
      <c r="G547" s="227"/>
      <c r="H547" s="41" t="str">
        <f>VLOOKUP(A547,ORÇAMENTO!B:K,2,FALSE)</f>
        <v>SETOP</v>
      </c>
      <c r="I547" s="41" t="str">
        <f>VLOOKUP(A547,ORÇAMENTO!B:K,5,FALSE)</f>
        <v>m2</v>
      </c>
      <c r="J547" s="122">
        <f>J551</f>
        <v>1.68</v>
      </c>
      <c r="K547" s="1" t="s">
        <v>269</v>
      </c>
    </row>
    <row r="548" spans="1:85" s="1" customFormat="1" ht="15" customHeight="1" x14ac:dyDescent="0.2">
      <c r="A548" s="248"/>
      <c r="B548" s="249"/>
      <c r="C548" s="242"/>
      <c r="D548" s="228" t="s">
        <v>43</v>
      </c>
      <c r="E548" s="230" t="s">
        <v>44</v>
      </c>
      <c r="F548" s="232" t="s">
        <v>0</v>
      </c>
      <c r="G548" s="230"/>
      <c r="H548" s="230"/>
      <c r="I548" s="230"/>
      <c r="J548" s="234" t="s">
        <v>39</v>
      </c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</row>
    <row r="549" spans="1:85" s="1" customFormat="1" ht="14.25" customHeight="1" x14ac:dyDescent="0.2">
      <c r="A549" s="248"/>
      <c r="B549" s="249"/>
      <c r="C549" s="242"/>
      <c r="D549" s="229"/>
      <c r="E549" s="231"/>
      <c r="F549" s="233"/>
      <c r="G549" s="231"/>
      <c r="H549" s="231"/>
      <c r="I549" s="231"/>
      <c r="J549" s="234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</row>
    <row r="550" spans="1:85" s="1" customFormat="1" ht="14.25" customHeight="1" x14ac:dyDescent="0.2">
      <c r="A550" s="243" t="s">
        <v>101</v>
      </c>
      <c r="B550" s="244"/>
      <c r="C550" s="9" t="s">
        <v>294</v>
      </c>
      <c r="D550" s="4">
        <v>0.8</v>
      </c>
      <c r="E550" s="4">
        <v>2.1</v>
      </c>
      <c r="F550" s="7">
        <v>1</v>
      </c>
      <c r="G550" s="3"/>
      <c r="H550" s="3"/>
      <c r="I550" s="3"/>
      <c r="J550" s="123">
        <f>PRODUCT(D550:I550)</f>
        <v>1.6800000000000002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</row>
    <row r="551" spans="1:85" s="1" customFormat="1" ht="15" x14ac:dyDescent="0.25">
      <c r="A551" s="245" t="s">
        <v>1</v>
      </c>
      <c r="B551" s="246"/>
      <c r="C551" s="246"/>
      <c r="D551" s="246"/>
      <c r="E551" s="246"/>
      <c r="F551" s="246"/>
      <c r="G551" s="246"/>
      <c r="H551" s="246"/>
      <c r="I551" s="247"/>
      <c r="J551" s="125">
        <f>ROUND(SUM(J550:J550),2)</f>
        <v>1.68</v>
      </c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</row>
    <row r="552" spans="1:85" s="1" customFormat="1" x14ac:dyDescent="0.2">
      <c r="A552" s="260"/>
      <c r="B552" s="261"/>
      <c r="C552" s="261"/>
      <c r="D552" s="261"/>
      <c r="E552" s="261"/>
      <c r="F552" s="261"/>
      <c r="G552" s="261"/>
      <c r="H552" s="261"/>
      <c r="I552" s="261"/>
      <c r="J552" s="26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</row>
    <row r="553" spans="1:85" s="1" customFormat="1" ht="20.100000000000001" customHeight="1" x14ac:dyDescent="0.2">
      <c r="A553" s="129" t="s">
        <v>368</v>
      </c>
      <c r="B553" s="257" t="str">
        <f>VLOOKUP(A553,ORÇAMENTO!B:K,2,FALSE)</f>
        <v xml:space="preserve">COBERTURA </v>
      </c>
      <c r="C553" s="258"/>
      <c r="D553" s="258"/>
      <c r="E553" s="258"/>
      <c r="F553" s="258"/>
      <c r="G553" s="258"/>
      <c r="H553" s="258"/>
      <c r="I553" s="258"/>
      <c r="J553" s="259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</row>
    <row r="554" spans="1:85" s="1" customFormat="1" ht="15" x14ac:dyDescent="0.25">
      <c r="A554" s="130"/>
      <c r="B554" s="26"/>
      <c r="C554" s="12"/>
      <c r="D554" s="12"/>
      <c r="E554" s="12"/>
      <c r="F554" s="12"/>
      <c r="G554" s="12"/>
      <c r="H554" s="26"/>
      <c r="I554" s="26"/>
      <c r="J554" s="131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</row>
    <row r="555" spans="1:85" s="1" customFormat="1" ht="49.7" customHeight="1" x14ac:dyDescent="0.2">
      <c r="A555" s="121" t="s">
        <v>369</v>
      </c>
      <c r="B555" s="40" t="s">
        <v>16</v>
      </c>
      <c r="C555" s="226" t="str">
        <f>VLOOKUP(A555,ORÇAMENTO!B:K,4,FALSE)</f>
        <v>COBERTURA EM TELHA METÁLICA GALVANIZADA TRAPEZOIDAL, TIPO SIMPLES, ESP. 0,50MM, ACABAMENTO NATURAL, INCLUSIVE ACESSÓRIOS PARA FIXAÇÃO, FORNECIMENTO E INSTALAÇÃO</v>
      </c>
      <c r="D555" s="227"/>
      <c r="E555" s="227"/>
      <c r="F555" s="227"/>
      <c r="G555" s="227"/>
      <c r="H555" s="41" t="str">
        <f>VLOOKUP(A555,ORÇAMENTO!B:K,2,FALSE)</f>
        <v>SETOP</v>
      </c>
      <c r="I555" s="41" t="str">
        <f>VLOOKUP(A555,ORÇAMENTO!B:K,5,FALSE)</f>
        <v>m2</v>
      </c>
      <c r="J555" s="122">
        <f>J559</f>
        <v>54.67</v>
      </c>
      <c r="K555" s="1" t="s">
        <v>269</v>
      </c>
    </row>
    <row r="556" spans="1:85" s="1" customFormat="1" ht="14.25" customHeight="1" x14ac:dyDescent="0.2">
      <c r="A556" s="248"/>
      <c r="B556" s="249"/>
      <c r="C556" s="242"/>
      <c r="D556" s="230" t="s">
        <v>3</v>
      </c>
      <c r="E556" s="232" t="s">
        <v>0</v>
      </c>
      <c r="F556" s="230"/>
      <c r="G556" s="230"/>
      <c r="H556" s="230"/>
      <c r="I556" s="230"/>
      <c r="J556" s="234" t="s">
        <v>39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</row>
    <row r="557" spans="1:85" s="1" customFormat="1" ht="14.25" customHeight="1" x14ac:dyDescent="0.2">
      <c r="A557" s="248"/>
      <c r="B557" s="249"/>
      <c r="C557" s="242"/>
      <c r="D557" s="231"/>
      <c r="E557" s="233"/>
      <c r="F557" s="231"/>
      <c r="G557" s="231"/>
      <c r="H557" s="231"/>
      <c r="I557" s="231"/>
      <c r="J557" s="234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</row>
    <row r="558" spans="1:85" s="1" customFormat="1" ht="15" x14ac:dyDescent="0.2">
      <c r="A558" s="243" t="s">
        <v>103</v>
      </c>
      <c r="B558" s="244"/>
      <c r="C558" s="9" t="s">
        <v>100</v>
      </c>
      <c r="D558" s="7">
        <v>54.67</v>
      </c>
      <c r="E558" s="7">
        <v>1</v>
      </c>
      <c r="F558" s="3"/>
      <c r="G558" s="3"/>
      <c r="H558" s="3"/>
      <c r="I558" s="3"/>
      <c r="J558" s="123">
        <f>PRODUCT(D558:I558)</f>
        <v>54.67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</row>
    <row r="559" spans="1:85" s="1" customFormat="1" ht="15" x14ac:dyDescent="0.25">
      <c r="A559" s="245" t="s">
        <v>1</v>
      </c>
      <c r="B559" s="246"/>
      <c r="C559" s="246"/>
      <c r="D559" s="246"/>
      <c r="E559" s="246"/>
      <c r="F559" s="246"/>
      <c r="G559" s="246"/>
      <c r="H559" s="246"/>
      <c r="I559" s="247"/>
      <c r="J559" s="125">
        <f>ROUND(SUM(J558:J558),2)</f>
        <v>54.67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</row>
    <row r="560" spans="1:85" s="1" customFormat="1" ht="15" x14ac:dyDescent="0.25">
      <c r="A560" s="127"/>
      <c r="B560" s="8"/>
      <c r="C560" s="8"/>
      <c r="D560" s="8"/>
      <c r="E560" s="8"/>
      <c r="F560" s="8"/>
      <c r="G560" s="8"/>
      <c r="H560" s="8"/>
      <c r="I560" s="12"/>
      <c r="J560" s="136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</row>
    <row r="561" spans="1:85" s="1" customFormat="1" ht="49.7" customHeight="1" x14ac:dyDescent="0.2">
      <c r="A561" s="121" t="s">
        <v>370</v>
      </c>
      <c r="B561" s="40" t="s">
        <v>16</v>
      </c>
      <c r="C561" s="226" t="str">
        <f>VLOOKUP(A561,ORÇAMENTO!B:K,4,FALSE)</f>
        <v>TRAMA DE AÇO COMPOSTA POR TERÇAS PARA TELHADOS DE ATÉ 2 ÁGUAS PARA TELHA ONDULADA DE FIBROCIMENTO, METÁLICA, PLÁSTICA OU TERMOACÚSTICA, INCLUSO TRANSPORTE VERTICAL. AF_07/2019</v>
      </c>
      <c r="D561" s="227"/>
      <c r="E561" s="227"/>
      <c r="F561" s="227"/>
      <c r="G561" s="227"/>
      <c r="H561" s="41" t="str">
        <f>VLOOKUP(A561,ORÇAMENTO!B:K,2,FALSE)</f>
        <v>SINAPI</v>
      </c>
      <c r="I561" s="41" t="str">
        <f>VLOOKUP(A561,ORÇAMENTO!B:K,5,FALSE)</f>
        <v>M2</v>
      </c>
      <c r="J561" s="122">
        <f>J565</f>
        <v>54.67</v>
      </c>
      <c r="K561" s="1" t="s">
        <v>269</v>
      </c>
    </row>
    <row r="562" spans="1:85" s="1" customFormat="1" ht="14.25" customHeight="1" x14ac:dyDescent="0.2">
      <c r="A562" s="248"/>
      <c r="B562" s="249"/>
      <c r="C562" s="242"/>
      <c r="D562" s="230" t="s">
        <v>3</v>
      </c>
      <c r="E562" s="232" t="s">
        <v>0</v>
      </c>
      <c r="F562" s="230"/>
      <c r="G562" s="230"/>
      <c r="H562" s="230"/>
      <c r="I562" s="230"/>
      <c r="J562" s="234" t="s">
        <v>39</v>
      </c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</row>
    <row r="563" spans="1:85" s="1" customFormat="1" ht="14.25" customHeight="1" x14ac:dyDescent="0.2">
      <c r="A563" s="248"/>
      <c r="B563" s="249"/>
      <c r="C563" s="242"/>
      <c r="D563" s="231"/>
      <c r="E563" s="233"/>
      <c r="F563" s="231"/>
      <c r="G563" s="231"/>
      <c r="H563" s="231"/>
      <c r="I563" s="231"/>
      <c r="J563" s="234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</row>
    <row r="564" spans="1:85" s="1" customFormat="1" ht="15" x14ac:dyDescent="0.2">
      <c r="A564" s="243" t="s">
        <v>103</v>
      </c>
      <c r="B564" s="244"/>
      <c r="C564" s="9" t="s">
        <v>100</v>
      </c>
      <c r="D564" s="7">
        <v>54.67</v>
      </c>
      <c r="E564" s="7">
        <v>1</v>
      </c>
      <c r="F564" s="3"/>
      <c r="G564" s="3"/>
      <c r="H564" s="3"/>
      <c r="I564" s="3"/>
      <c r="J564" s="123">
        <f>PRODUCT(D564:I564)</f>
        <v>54.67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</row>
    <row r="565" spans="1:85" s="1" customFormat="1" ht="15" x14ac:dyDescent="0.25">
      <c r="A565" s="245" t="s">
        <v>1</v>
      </c>
      <c r="B565" s="246"/>
      <c r="C565" s="246"/>
      <c r="D565" s="246"/>
      <c r="E565" s="246"/>
      <c r="F565" s="246"/>
      <c r="G565" s="246"/>
      <c r="H565" s="246"/>
      <c r="I565" s="247"/>
      <c r="J565" s="125">
        <f>ROUND(SUM(J564:J564),2)</f>
        <v>54.67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</row>
    <row r="566" spans="1:85" s="1" customFormat="1" ht="15" x14ac:dyDescent="0.25">
      <c r="A566" s="127"/>
      <c r="B566" s="8"/>
      <c r="C566" s="8"/>
      <c r="D566" s="8"/>
      <c r="E566" s="8"/>
      <c r="F566" s="8"/>
      <c r="G566" s="8"/>
      <c r="H566" s="8"/>
      <c r="I566" s="12"/>
      <c r="J566" s="13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</row>
    <row r="567" spans="1:85" s="1" customFormat="1" ht="20.100000000000001" customHeight="1" x14ac:dyDescent="0.2">
      <c r="A567" s="129" t="s">
        <v>371</v>
      </c>
      <c r="B567" s="257" t="str">
        <f>VLOOKUP(A567,ORÇAMENTO!B:K,2,FALSE)</f>
        <v xml:space="preserve">PINTURA </v>
      </c>
      <c r="C567" s="258"/>
      <c r="D567" s="258"/>
      <c r="E567" s="258"/>
      <c r="F567" s="258"/>
      <c r="G567" s="258"/>
      <c r="H567" s="258"/>
      <c r="I567" s="258"/>
      <c r="J567" s="259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</row>
    <row r="568" spans="1:85" s="1" customFormat="1" ht="15" x14ac:dyDescent="0.25">
      <c r="A568" s="130"/>
      <c r="B568" s="26"/>
      <c r="C568" s="12"/>
      <c r="D568" s="12"/>
      <c r="E568" s="12"/>
      <c r="F568" s="12"/>
      <c r="G568" s="12"/>
      <c r="H568" s="26"/>
      <c r="I568" s="26"/>
      <c r="J568" s="131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</row>
    <row r="569" spans="1:85" s="1" customFormat="1" ht="49.7" customHeight="1" x14ac:dyDescent="0.2">
      <c r="A569" s="121" t="s">
        <v>372</v>
      </c>
      <c r="B569" s="40" t="s">
        <v>16</v>
      </c>
      <c r="C569" s="226" t="str">
        <f>VLOOKUP(A569,ORÇAMENTO!B:K,4,FALSE)</f>
        <v>FUNDO SELADOR ACRÍLICO, APLICAÇÃO MANUAL EM PAREDE, UMA DEMÃO. AF_04/2023</v>
      </c>
      <c r="D569" s="227"/>
      <c r="E569" s="227"/>
      <c r="F569" s="227"/>
      <c r="G569" s="227"/>
      <c r="H569" s="41" t="str">
        <f>VLOOKUP(A569,ORÇAMENTO!B:K,2,FALSE)</f>
        <v>SINAPI</v>
      </c>
      <c r="I569" s="41" t="str">
        <f>VLOOKUP(A569,ORÇAMENTO!B:K,5,FALSE)</f>
        <v>M2</v>
      </c>
      <c r="J569" s="122">
        <f>J586</f>
        <v>569.98</v>
      </c>
      <c r="K569" s="1" t="s">
        <v>269</v>
      </c>
    </row>
    <row r="570" spans="1:85" s="1" customFormat="1" ht="14.25" customHeight="1" x14ac:dyDescent="0.2">
      <c r="A570" s="238"/>
      <c r="B570" s="239"/>
      <c r="C570" s="228"/>
      <c r="D570" s="228" t="s">
        <v>43</v>
      </c>
      <c r="E570" s="230" t="s">
        <v>44</v>
      </c>
      <c r="F570" s="230" t="s">
        <v>3</v>
      </c>
      <c r="G570" s="228" t="s">
        <v>275</v>
      </c>
      <c r="H570" s="230"/>
      <c r="I570" s="230"/>
      <c r="J570" s="234" t="s">
        <v>39</v>
      </c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</row>
    <row r="571" spans="1:85" s="1" customFormat="1" ht="14.25" customHeight="1" x14ac:dyDescent="0.2">
      <c r="A571" s="240"/>
      <c r="B571" s="241"/>
      <c r="C571" s="229"/>
      <c r="D571" s="229"/>
      <c r="E571" s="231"/>
      <c r="F571" s="231"/>
      <c r="G571" s="229"/>
      <c r="H571" s="231"/>
      <c r="I571" s="231"/>
      <c r="J571" s="234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</row>
    <row r="572" spans="1:85" s="1" customFormat="1" ht="15" x14ac:dyDescent="0.2">
      <c r="A572" s="243" t="s">
        <v>277</v>
      </c>
      <c r="B572" s="244"/>
      <c r="C572" s="4"/>
      <c r="D572" s="4">
        <f>6.36+5.73+0.305+5.56+0.3+6.36</f>
        <v>24.614999999999998</v>
      </c>
      <c r="E572" s="7">
        <v>6.94</v>
      </c>
      <c r="F572" s="7">
        <f>D572*E572</f>
        <v>170.82810000000001</v>
      </c>
      <c r="G572" s="7">
        <f>(3.08*2)*4</f>
        <v>24.64</v>
      </c>
      <c r="H572" s="23"/>
      <c r="I572" s="23"/>
      <c r="J572" s="123">
        <f>ROUND(F572-G572,2)</f>
        <v>146.19</v>
      </c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</row>
    <row r="573" spans="1:85" s="1" customFormat="1" ht="15" x14ac:dyDescent="0.2">
      <c r="A573" s="243" t="s">
        <v>282</v>
      </c>
      <c r="B573" s="244"/>
      <c r="C573" s="4"/>
      <c r="D573" s="4">
        <v>6.36</v>
      </c>
      <c r="E573" s="7">
        <v>5.08</v>
      </c>
      <c r="F573" s="7">
        <f t="shared" ref="F573:F574" si="42">D573*E573</f>
        <v>32.308800000000005</v>
      </c>
      <c r="G573" s="7">
        <f>1.2*2.15</f>
        <v>2.5799999999999996</v>
      </c>
      <c r="H573" s="23"/>
      <c r="I573" s="23"/>
      <c r="J573" s="123">
        <f t="shared" ref="J573:J584" si="43">ROUND(F573-G573,2)</f>
        <v>29.73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</row>
    <row r="574" spans="1:85" s="1" customFormat="1" ht="15" x14ac:dyDescent="0.2">
      <c r="A574" s="243" t="s">
        <v>283</v>
      </c>
      <c r="B574" s="244"/>
      <c r="C574" s="4"/>
      <c r="D574" s="4">
        <v>5.73</v>
      </c>
      <c r="E574" s="7">
        <v>4.4859999999999998</v>
      </c>
      <c r="F574" s="7">
        <f t="shared" si="42"/>
        <v>25.70478</v>
      </c>
      <c r="G574" s="7">
        <f>1.2*2</f>
        <v>2.4</v>
      </c>
      <c r="H574" s="23"/>
      <c r="I574" s="23"/>
      <c r="J574" s="123">
        <f t="shared" si="43"/>
        <v>23.3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</row>
    <row r="575" spans="1:85" s="1" customFormat="1" ht="15" x14ac:dyDescent="0.2">
      <c r="A575" s="243" t="s">
        <v>283</v>
      </c>
      <c r="B575" s="244"/>
      <c r="C575" s="4"/>
      <c r="D575" s="4"/>
      <c r="E575" s="7"/>
      <c r="F575" s="7">
        <f>(5.73*0.59)/2</f>
        <v>1.69035</v>
      </c>
      <c r="G575" s="7">
        <v>0</v>
      </c>
      <c r="H575" s="23"/>
      <c r="I575" s="23"/>
      <c r="J575" s="123">
        <f t="shared" si="43"/>
        <v>1.69</v>
      </c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</row>
    <row r="576" spans="1:85" s="1" customFormat="1" ht="15" x14ac:dyDescent="0.2">
      <c r="A576" s="243" t="s">
        <v>285</v>
      </c>
      <c r="B576" s="244"/>
      <c r="C576" s="4"/>
      <c r="D576" s="4">
        <v>6.36</v>
      </c>
      <c r="E576" s="7">
        <v>4.4859999999999998</v>
      </c>
      <c r="F576" s="7">
        <f t="shared" ref="F576:F577" si="44">D576*E576</f>
        <v>28.53096</v>
      </c>
      <c r="G576" s="7">
        <v>0</v>
      </c>
      <c r="H576" s="23"/>
      <c r="I576" s="23"/>
      <c r="J576" s="123">
        <f t="shared" si="43"/>
        <v>28.53</v>
      </c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</row>
    <row r="577" spans="1:85" s="1" customFormat="1" ht="15" x14ac:dyDescent="0.2">
      <c r="A577" s="243" t="s">
        <v>284</v>
      </c>
      <c r="B577" s="244"/>
      <c r="C577" s="4"/>
      <c r="D577" s="4">
        <v>5.56</v>
      </c>
      <c r="E577" s="7">
        <v>4.4859999999999998</v>
      </c>
      <c r="F577" s="7">
        <f t="shared" si="44"/>
        <v>24.942159999999998</v>
      </c>
      <c r="G577" s="7">
        <f>2*1.2</f>
        <v>2.4</v>
      </c>
      <c r="H577" s="23"/>
      <c r="I577" s="23"/>
      <c r="J577" s="123">
        <f t="shared" si="43"/>
        <v>22.54</v>
      </c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</row>
    <row r="578" spans="1:85" s="1" customFormat="1" ht="15" x14ac:dyDescent="0.2">
      <c r="A578" s="243" t="s">
        <v>284</v>
      </c>
      <c r="B578" s="244"/>
      <c r="C578" s="4"/>
      <c r="D578" s="4"/>
      <c r="E578" s="7"/>
      <c r="F578" s="7">
        <f>(5.56*0.59)/2</f>
        <v>1.6401999999999999</v>
      </c>
      <c r="G578" s="7">
        <v>0</v>
      </c>
      <c r="H578" s="23"/>
      <c r="I578" s="23"/>
      <c r="J578" s="123">
        <f t="shared" si="43"/>
        <v>1.64</v>
      </c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</row>
    <row r="579" spans="1:85" s="1" customFormat="1" ht="15" x14ac:dyDescent="0.2">
      <c r="A579" s="243" t="s">
        <v>278</v>
      </c>
      <c r="B579" s="244"/>
      <c r="C579" s="4"/>
      <c r="D579" s="4">
        <v>6.76</v>
      </c>
      <c r="E579" s="7">
        <v>12.31</v>
      </c>
      <c r="F579" s="7">
        <f t="shared" ref="F579:F580" si="45">D579*E579</f>
        <v>83.215599999999995</v>
      </c>
      <c r="G579" s="7">
        <f>(1.2*2.15)+((0.9+2.05+0.9)*0.15)+(1.08*1.32)</f>
        <v>4.5831</v>
      </c>
      <c r="H579" s="23"/>
      <c r="I579" s="23"/>
      <c r="J579" s="123">
        <f t="shared" si="43"/>
        <v>78.63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</row>
    <row r="580" spans="1:85" s="1" customFormat="1" ht="15" x14ac:dyDescent="0.2">
      <c r="A580" s="243" t="s">
        <v>279</v>
      </c>
      <c r="B580" s="244"/>
      <c r="C580" s="4"/>
      <c r="D580" s="4">
        <v>6.13</v>
      </c>
      <c r="E580" s="7">
        <v>11.72</v>
      </c>
      <c r="F580" s="7">
        <f t="shared" si="45"/>
        <v>71.843600000000009</v>
      </c>
      <c r="G580" s="7">
        <f>(2*1.2)</f>
        <v>2.4</v>
      </c>
      <c r="H580" s="23"/>
      <c r="I580" s="23"/>
      <c r="J580" s="123">
        <f t="shared" si="43"/>
        <v>69.44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</row>
    <row r="581" spans="1:85" s="1" customFormat="1" ht="15" x14ac:dyDescent="0.2">
      <c r="A581" s="243" t="s">
        <v>279</v>
      </c>
      <c r="B581" s="244"/>
      <c r="C581" s="4"/>
      <c r="D581" s="4"/>
      <c r="E581" s="7"/>
      <c r="F581" s="7">
        <f>(6.13*0.59)/2</f>
        <v>1.8083499999999999</v>
      </c>
      <c r="G581" s="7">
        <v>0</v>
      </c>
      <c r="H581" s="23"/>
      <c r="I581" s="23"/>
      <c r="J581" s="123">
        <f t="shared" si="43"/>
        <v>1.81</v>
      </c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</row>
    <row r="582" spans="1:85" s="1" customFormat="1" ht="15" x14ac:dyDescent="0.2">
      <c r="A582" s="243" t="s">
        <v>280</v>
      </c>
      <c r="B582" s="244"/>
      <c r="C582" s="4"/>
      <c r="D582" s="4">
        <v>6.76</v>
      </c>
      <c r="E582" s="7">
        <v>11.72</v>
      </c>
      <c r="F582" s="7">
        <f t="shared" ref="F582:F583" si="46">D582*E582</f>
        <v>79.227199999999996</v>
      </c>
      <c r="G582" s="7">
        <f>((3.08+3.08)*4)</f>
        <v>24.64</v>
      </c>
      <c r="H582" s="23"/>
      <c r="I582" s="23"/>
      <c r="J582" s="123">
        <f t="shared" si="43"/>
        <v>54.59</v>
      </c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</row>
    <row r="583" spans="1:85" s="1" customFormat="1" ht="15" x14ac:dyDescent="0.2">
      <c r="A583" s="243" t="s">
        <v>281</v>
      </c>
      <c r="B583" s="244"/>
      <c r="C583" s="4"/>
      <c r="D583" s="4">
        <v>5.95</v>
      </c>
      <c r="E583" s="7">
        <v>11.72</v>
      </c>
      <c r="F583" s="7">
        <f t="shared" si="46"/>
        <v>69.734000000000009</v>
      </c>
      <c r="G583" s="7">
        <f>(2*1.2)</f>
        <v>2.4</v>
      </c>
      <c r="H583" s="23"/>
      <c r="I583" s="23"/>
      <c r="J583" s="123">
        <f t="shared" si="43"/>
        <v>67.33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</row>
    <row r="584" spans="1:85" s="1" customFormat="1" ht="15" x14ac:dyDescent="0.2">
      <c r="A584" s="243" t="s">
        <v>281</v>
      </c>
      <c r="B584" s="244"/>
      <c r="C584" s="4"/>
      <c r="D584" s="4"/>
      <c r="E584" s="7"/>
      <c r="F584" s="7">
        <f>(5.95*0.59)/2</f>
        <v>1.75525</v>
      </c>
      <c r="G584" s="7">
        <v>0</v>
      </c>
      <c r="H584" s="23"/>
      <c r="I584" s="23"/>
      <c r="J584" s="123">
        <f t="shared" si="43"/>
        <v>1.76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</row>
    <row r="585" spans="1:85" s="1" customFormat="1" x14ac:dyDescent="0.2">
      <c r="A585" s="243" t="s">
        <v>292</v>
      </c>
      <c r="B585" s="244"/>
      <c r="C585" s="4" t="s">
        <v>409</v>
      </c>
      <c r="D585" s="7">
        <f>0.9+0.23+1.05+0.9+0.23+1.05</f>
        <v>4.3600000000000003</v>
      </c>
      <c r="E585" s="7">
        <v>10</v>
      </c>
      <c r="F585" s="7">
        <f t="shared" ref="F585" si="47">D585*E585</f>
        <v>43.6</v>
      </c>
      <c r="G585" s="7">
        <v>0.8</v>
      </c>
      <c r="H585" s="3"/>
      <c r="I585" s="3"/>
      <c r="J585" s="123">
        <f t="shared" ref="J585" si="48">ROUND(F585-G585,2)</f>
        <v>42.8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</row>
    <row r="586" spans="1:85" s="1" customFormat="1" ht="15" x14ac:dyDescent="0.25">
      <c r="A586" s="245" t="s">
        <v>1</v>
      </c>
      <c r="B586" s="246"/>
      <c r="C586" s="246"/>
      <c r="D586" s="246"/>
      <c r="E586" s="246"/>
      <c r="F586" s="246"/>
      <c r="G586" s="246"/>
      <c r="H586" s="246"/>
      <c r="I586" s="247"/>
      <c r="J586" s="125">
        <f>ROUND(SUM(J572:J585),2)</f>
        <v>569.98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</row>
    <row r="587" spans="1:85" s="1" customFormat="1" ht="15" x14ac:dyDescent="0.25">
      <c r="A587" s="127"/>
      <c r="B587" s="8"/>
      <c r="C587" s="8"/>
      <c r="D587" s="8"/>
      <c r="E587" s="8"/>
      <c r="F587" s="8"/>
      <c r="G587" s="8"/>
      <c r="H587" s="8"/>
      <c r="I587" s="12"/>
      <c r="J587" s="136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</row>
    <row r="588" spans="1:85" s="1" customFormat="1" ht="49.7" customHeight="1" x14ac:dyDescent="0.2">
      <c r="A588" s="121" t="s">
        <v>373</v>
      </c>
      <c r="B588" s="40" t="s">
        <v>16</v>
      </c>
      <c r="C588" s="226" t="str">
        <f>VLOOKUP(A588,ORÇAMENTO!B:K,4,FALSE)</f>
        <v>PINTURA ACRÍLICA EM PAREDE, DUAS (2) DEMÃOS, COM APLICAÇÃO MANUAL, EXCLUSIVE SELADOR ACRÍLICO E MASSA ACRÍLICA/CORRIDA (PVA)</v>
      </c>
      <c r="D588" s="227"/>
      <c r="E588" s="227"/>
      <c r="F588" s="227"/>
      <c r="G588" s="227"/>
      <c r="H588" s="41" t="str">
        <f>VLOOKUP(A588,ORÇAMENTO!B:K,2,FALSE)</f>
        <v>SETOP</v>
      </c>
      <c r="I588" s="41" t="str">
        <f>VLOOKUP(A588,ORÇAMENTO!B:K,5,FALSE)</f>
        <v>m2</v>
      </c>
      <c r="J588" s="122">
        <f>J605</f>
        <v>569.98</v>
      </c>
      <c r="K588" s="1" t="s">
        <v>269</v>
      </c>
    </row>
    <row r="589" spans="1:85" s="1" customFormat="1" ht="14.25" customHeight="1" x14ac:dyDescent="0.2">
      <c r="A589" s="238"/>
      <c r="B589" s="239"/>
      <c r="C589" s="228"/>
      <c r="D589" s="228" t="s">
        <v>43</v>
      </c>
      <c r="E589" s="230" t="s">
        <v>44</v>
      </c>
      <c r="F589" s="230" t="s">
        <v>3</v>
      </c>
      <c r="G589" s="228" t="s">
        <v>275</v>
      </c>
      <c r="H589" s="230"/>
      <c r="I589" s="230"/>
      <c r="J589" s="234" t="s">
        <v>39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</row>
    <row r="590" spans="1:85" s="1" customFormat="1" ht="14.25" customHeight="1" x14ac:dyDescent="0.2">
      <c r="A590" s="240"/>
      <c r="B590" s="241"/>
      <c r="C590" s="229"/>
      <c r="D590" s="229"/>
      <c r="E590" s="231"/>
      <c r="F590" s="231"/>
      <c r="G590" s="229"/>
      <c r="H590" s="231"/>
      <c r="I590" s="231"/>
      <c r="J590" s="234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</row>
    <row r="591" spans="1:85" s="1" customFormat="1" ht="15" x14ac:dyDescent="0.2">
      <c r="A591" s="243" t="s">
        <v>277</v>
      </c>
      <c r="B591" s="244"/>
      <c r="C591" s="4"/>
      <c r="D591" s="4">
        <f>6.36+5.73+0.305+5.56+0.3+6.36</f>
        <v>24.614999999999998</v>
      </c>
      <c r="E591" s="7">
        <v>6.94</v>
      </c>
      <c r="F591" s="7">
        <f>D591*E591</f>
        <v>170.82810000000001</v>
      </c>
      <c r="G591" s="7">
        <f>(3.08*2)*4</f>
        <v>24.64</v>
      </c>
      <c r="H591" s="23"/>
      <c r="I591" s="23"/>
      <c r="J591" s="123">
        <f>ROUND(F591-G591,2)</f>
        <v>146.19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</row>
    <row r="592" spans="1:85" s="1" customFormat="1" ht="15" x14ac:dyDescent="0.2">
      <c r="A592" s="243" t="s">
        <v>282</v>
      </c>
      <c r="B592" s="244"/>
      <c r="C592" s="4"/>
      <c r="D592" s="4">
        <v>6.36</v>
      </c>
      <c r="E592" s="7">
        <v>5.08</v>
      </c>
      <c r="F592" s="7">
        <f t="shared" ref="F592:F593" si="49">D592*E592</f>
        <v>32.308800000000005</v>
      </c>
      <c r="G592" s="7">
        <f>1.2*2.15</f>
        <v>2.5799999999999996</v>
      </c>
      <c r="H592" s="23"/>
      <c r="I592" s="23"/>
      <c r="J592" s="123">
        <f t="shared" ref="J592:J604" si="50">ROUND(F592-G592,2)</f>
        <v>29.73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</row>
    <row r="593" spans="1:85" s="1" customFormat="1" ht="15" x14ac:dyDescent="0.2">
      <c r="A593" s="243" t="s">
        <v>283</v>
      </c>
      <c r="B593" s="244"/>
      <c r="C593" s="4"/>
      <c r="D593" s="4">
        <v>5.73</v>
      </c>
      <c r="E593" s="7">
        <v>4.4859999999999998</v>
      </c>
      <c r="F593" s="7">
        <f t="shared" si="49"/>
        <v>25.70478</v>
      </c>
      <c r="G593" s="7">
        <f>1.2*2</f>
        <v>2.4</v>
      </c>
      <c r="H593" s="23"/>
      <c r="I593" s="23"/>
      <c r="J593" s="123">
        <f t="shared" si="50"/>
        <v>23.3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</row>
    <row r="594" spans="1:85" s="1" customFormat="1" ht="15" x14ac:dyDescent="0.2">
      <c r="A594" s="243" t="s">
        <v>283</v>
      </c>
      <c r="B594" s="244"/>
      <c r="C594" s="4"/>
      <c r="D594" s="4"/>
      <c r="E594" s="7"/>
      <c r="F594" s="7">
        <f>(5.73*0.59)/2</f>
        <v>1.69035</v>
      </c>
      <c r="G594" s="7">
        <v>0</v>
      </c>
      <c r="H594" s="23"/>
      <c r="I594" s="23"/>
      <c r="J594" s="123">
        <f t="shared" si="50"/>
        <v>1.69</v>
      </c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</row>
    <row r="595" spans="1:85" s="1" customFormat="1" ht="15" x14ac:dyDescent="0.2">
      <c r="A595" s="243" t="s">
        <v>285</v>
      </c>
      <c r="B595" s="244"/>
      <c r="C595" s="4"/>
      <c r="D595" s="4">
        <v>6.36</v>
      </c>
      <c r="E595" s="7">
        <v>4.4859999999999998</v>
      </c>
      <c r="F595" s="7">
        <f t="shared" ref="F595:F596" si="51">D595*E595</f>
        <v>28.53096</v>
      </c>
      <c r="G595" s="7">
        <v>0</v>
      </c>
      <c r="H595" s="23"/>
      <c r="I595" s="23"/>
      <c r="J595" s="123">
        <f t="shared" si="50"/>
        <v>28.53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</row>
    <row r="596" spans="1:85" s="1" customFormat="1" ht="15" x14ac:dyDescent="0.2">
      <c r="A596" s="243" t="s">
        <v>284</v>
      </c>
      <c r="B596" s="244"/>
      <c r="C596" s="4"/>
      <c r="D596" s="4">
        <v>5.56</v>
      </c>
      <c r="E596" s="7">
        <v>4.4859999999999998</v>
      </c>
      <c r="F596" s="7">
        <f t="shared" si="51"/>
        <v>24.942159999999998</v>
      </c>
      <c r="G596" s="7">
        <f>2*1.2</f>
        <v>2.4</v>
      </c>
      <c r="H596" s="23"/>
      <c r="I596" s="23"/>
      <c r="J596" s="123">
        <f t="shared" si="50"/>
        <v>22.54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</row>
    <row r="597" spans="1:85" s="1" customFormat="1" ht="15" x14ac:dyDescent="0.2">
      <c r="A597" s="243" t="s">
        <v>284</v>
      </c>
      <c r="B597" s="244"/>
      <c r="C597" s="4"/>
      <c r="D597" s="4"/>
      <c r="E597" s="7"/>
      <c r="F597" s="7">
        <f>(5.56*0.59)/2</f>
        <v>1.6401999999999999</v>
      </c>
      <c r="G597" s="7">
        <v>0</v>
      </c>
      <c r="H597" s="23"/>
      <c r="I597" s="23"/>
      <c r="J597" s="123">
        <f t="shared" si="50"/>
        <v>1.64</v>
      </c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</row>
    <row r="598" spans="1:85" s="1" customFormat="1" ht="15" x14ac:dyDescent="0.2">
      <c r="A598" s="243" t="s">
        <v>278</v>
      </c>
      <c r="B598" s="244"/>
      <c r="C598" s="4"/>
      <c r="D598" s="4">
        <v>6.76</v>
      </c>
      <c r="E598" s="7">
        <v>12.31</v>
      </c>
      <c r="F598" s="7">
        <f t="shared" ref="F598:F599" si="52">D598*E598</f>
        <v>83.215599999999995</v>
      </c>
      <c r="G598" s="7">
        <f>(1.2*2.15)+((0.9+2.05+0.9)*0.15)+(1.08*1.32)</f>
        <v>4.5831</v>
      </c>
      <c r="H598" s="23"/>
      <c r="I598" s="23"/>
      <c r="J598" s="123">
        <f t="shared" si="50"/>
        <v>78.63</v>
      </c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</row>
    <row r="599" spans="1:85" s="1" customFormat="1" ht="15" x14ac:dyDescent="0.2">
      <c r="A599" s="243" t="s">
        <v>279</v>
      </c>
      <c r="B599" s="244"/>
      <c r="C599" s="4"/>
      <c r="D599" s="4">
        <v>6.13</v>
      </c>
      <c r="E599" s="7">
        <v>11.72</v>
      </c>
      <c r="F599" s="7">
        <f t="shared" si="52"/>
        <v>71.843600000000009</v>
      </c>
      <c r="G599" s="7">
        <f>(2*1.2)</f>
        <v>2.4</v>
      </c>
      <c r="H599" s="23"/>
      <c r="I599" s="23"/>
      <c r="J599" s="123">
        <f t="shared" si="50"/>
        <v>69.44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</row>
    <row r="600" spans="1:85" s="1" customFormat="1" ht="15" x14ac:dyDescent="0.2">
      <c r="A600" s="243" t="s">
        <v>279</v>
      </c>
      <c r="B600" s="244"/>
      <c r="C600" s="4"/>
      <c r="D600" s="4"/>
      <c r="E600" s="7"/>
      <c r="F600" s="7">
        <f>(6.13*0.59)/2</f>
        <v>1.8083499999999999</v>
      </c>
      <c r="G600" s="7">
        <v>0</v>
      </c>
      <c r="H600" s="23"/>
      <c r="I600" s="23"/>
      <c r="J600" s="123">
        <f t="shared" si="50"/>
        <v>1.81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</row>
    <row r="601" spans="1:85" s="1" customFormat="1" ht="15" x14ac:dyDescent="0.2">
      <c r="A601" s="243" t="s">
        <v>280</v>
      </c>
      <c r="B601" s="244"/>
      <c r="C601" s="4"/>
      <c r="D601" s="4">
        <v>6.76</v>
      </c>
      <c r="E601" s="7">
        <v>11.72</v>
      </c>
      <c r="F601" s="7">
        <f t="shared" ref="F601:F602" si="53">D601*E601</f>
        <v>79.227199999999996</v>
      </c>
      <c r="G601" s="7">
        <f>((3.08+3.08)*4)</f>
        <v>24.64</v>
      </c>
      <c r="H601" s="23"/>
      <c r="I601" s="23"/>
      <c r="J601" s="123">
        <f t="shared" si="50"/>
        <v>54.59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</row>
    <row r="602" spans="1:85" s="1" customFormat="1" ht="15" x14ac:dyDescent="0.2">
      <c r="A602" s="243" t="s">
        <v>281</v>
      </c>
      <c r="B602" s="244"/>
      <c r="C602" s="4"/>
      <c r="D602" s="4">
        <v>5.95</v>
      </c>
      <c r="E602" s="7">
        <v>11.72</v>
      </c>
      <c r="F602" s="7">
        <f t="shared" si="53"/>
        <v>69.734000000000009</v>
      </c>
      <c r="G602" s="7">
        <f>(2*1.2)</f>
        <v>2.4</v>
      </c>
      <c r="H602" s="23"/>
      <c r="I602" s="23"/>
      <c r="J602" s="123">
        <f t="shared" si="50"/>
        <v>67.33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</row>
    <row r="603" spans="1:85" s="1" customFormat="1" ht="15" x14ac:dyDescent="0.2">
      <c r="A603" s="243" t="s">
        <v>281</v>
      </c>
      <c r="B603" s="244"/>
      <c r="C603" s="4"/>
      <c r="D603" s="4"/>
      <c r="E603" s="7"/>
      <c r="F603" s="7">
        <f>(5.95*0.59)/2</f>
        <v>1.75525</v>
      </c>
      <c r="G603" s="7">
        <v>0</v>
      </c>
      <c r="H603" s="23"/>
      <c r="I603" s="23"/>
      <c r="J603" s="123">
        <f t="shared" si="50"/>
        <v>1.76</v>
      </c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</row>
    <row r="604" spans="1:85" s="1" customFormat="1" x14ac:dyDescent="0.2">
      <c r="A604" s="243" t="s">
        <v>292</v>
      </c>
      <c r="B604" s="244"/>
      <c r="C604" s="4" t="s">
        <v>409</v>
      </c>
      <c r="D604" s="7">
        <f>0.9+0.23+1.05+0.9+0.23+1.05</f>
        <v>4.3600000000000003</v>
      </c>
      <c r="E604" s="7">
        <v>10</v>
      </c>
      <c r="F604" s="7">
        <f t="shared" ref="F604" si="54">D604*E604</f>
        <v>43.6</v>
      </c>
      <c r="G604" s="7">
        <v>0.8</v>
      </c>
      <c r="H604" s="3"/>
      <c r="I604" s="3"/>
      <c r="J604" s="123">
        <f t="shared" si="50"/>
        <v>42.8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</row>
    <row r="605" spans="1:85" s="1" customFormat="1" ht="15" x14ac:dyDescent="0.25">
      <c r="A605" s="245" t="s">
        <v>1</v>
      </c>
      <c r="B605" s="246"/>
      <c r="C605" s="246"/>
      <c r="D605" s="246"/>
      <c r="E605" s="246"/>
      <c r="F605" s="246"/>
      <c r="G605" s="246"/>
      <c r="H605" s="246"/>
      <c r="I605" s="247"/>
      <c r="J605" s="125">
        <f>ROUND(SUM(J591:J604),2)</f>
        <v>569.98</v>
      </c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</row>
    <row r="606" spans="1:85" s="1" customFormat="1" ht="15" x14ac:dyDescent="0.25">
      <c r="A606" s="127"/>
      <c r="B606" s="8"/>
      <c r="C606" s="8"/>
      <c r="D606" s="8"/>
      <c r="E606" s="8"/>
      <c r="F606" s="8"/>
      <c r="G606" s="8"/>
      <c r="H606" s="8"/>
      <c r="I606" s="12"/>
      <c r="J606" s="136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</row>
    <row r="607" spans="1:85" s="1" customFormat="1" ht="49.7" customHeight="1" x14ac:dyDescent="0.2">
      <c r="A607" s="121" t="s">
        <v>374</v>
      </c>
      <c r="B607" s="40" t="s">
        <v>16</v>
      </c>
      <c r="C607" s="226" t="str">
        <f>VLOOKUP(A607,ORÇAMENTO!B:K,4,FALSE)</f>
        <v>FUNDO SELADOR ACRÍLICO, APLICAÇÃO MANUAL EM TETO, UMA DEMÃO. AF_04/2023</v>
      </c>
      <c r="D607" s="227"/>
      <c r="E607" s="227"/>
      <c r="F607" s="227"/>
      <c r="G607" s="227"/>
      <c r="H607" s="41" t="str">
        <f>VLOOKUP(A607,ORÇAMENTO!B:K,2,FALSE)</f>
        <v>SINAPI</v>
      </c>
      <c r="I607" s="41" t="str">
        <f>VLOOKUP(A607,ORÇAMENTO!B:K,5,FALSE)</f>
        <v>M2</v>
      </c>
      <c r="J607" s="122">
        <f>J611</f>
        <v>35.9</v>
      </c>
      <c r="K607" s="1" t="s">
        <v>269</v>
      </c>
    </row>
    <row r="608" spans="1:85" s="1" customFormat="1" ht="14.25" customHeight="1" x14ac:dyDescent="0.2">
      <c r="A608" s="248"/>
      <c r="B608" s="249"/>
      <c r="C608" s="242"/>
      <c r="D608" s="230" t="s">
        <v>3</v>
      </c>
      <c r="E608" s="232" t="s">
        <v>0</v>
      </c>
      <c r="F608" s="232"/>
      <c r="G608" s="230"/>
      <c r="H608" s="230"/>
      <c r="I608" s="230"/>
      <c r="J608" s="234" t="s">
        <v>39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</row>
    <row r="609" spans="1:85" s="1" customFormat="1" ht="14.25" customHeight="1" x14ac:dyDescent="0.2">
      <c r="A609" s="248"/>
      <c r="B609" s="249"/>
      <c r="C609" s="242"/>
      <c r="D609" s="231"/>
      <c r="E609" s="233"/>
      <c r="F609" s="233"/>
      <c r="G609" s="231"/>
      <c r="H609" s="231"/>
      <c r="I609" s="231"/>
      <c r="J609" s="234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</row>
    <row r="610" spans="1:85" s="1" customFormat="1" ht="15" x14ac:dyDescent="0.2">
      <c r="A610" s="243" t="s">
        <v>286</v>
      </c>
      <c r="B610" s="244"/>
      <c r="C610" s="9"/>
      <c r="D610" s="7">
        <v>35.9</v>
      </c>
      <c r="E610" s="7">
        <v>1</v>
      </c>
      <c r="F610" s="7"/>
      <c r="G610" s="3"/>
      <c r="H610" s="3"/>
      <c r="I610" s="3"/>
      <c r="J610" s="123">
        <f>PRODUCT(D610:I610)</f>
        <v>35.9</v>
      </c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</row>
    <row r="611" spans="1:85" s="1" customFormat="1" ht="15" x14ac:dyDescent="0.25">
      <c r="A611" s="245" t="s">
        <v>1</v>
      </c>
      <c r="B611" s="246"/>
      <c r="C611" s="246"/>
      <c r="D611" s="246"/>
      <c r="E611" s="246"/>
      <c r="F611" s="246"/>
      <c r="G611" s="246"/>
      <c r="H611" s="246"/>
      <c r="I611" s="247"/>
      <c r="J611" s="125">
        <f>ROUND(SUM(J610:J610),2)</f>
        <v>35.9</v>
      </c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</row>
    <row r="612" spans="1:85" s="1" customFormat="1" ht="15" x14ac:dyDescent="0.25">
      <c r="A612" s="127"/>
      <c r="B612" s="8"/>
      <c r="C612" s="8"/>
      <c r="D612" s="8"/>
      <c r="E612" s="8"/>
      <c r="F612" s="8"/>
      <c r="G612" s="8"/>
      <c r="H612" s="8"/>
      <c r="I612" s="12"/>
      <c r="J612" s="136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</row>
    <row r="613" spans="1:85" s="1" customFormat="1" ht="49.7" customHeight="1" x14ac:dyDescent="0.2">
      <c r="A613" s="121" t="s">
        <v>375</v>
      </c>
      <c r="B613" s="40" t="s">
        <v>16</v>
      </c>
      <c r="C613" s="226" t="str">
        <f>VLOOKUP(A613,ORÇAMENTO!B:K,4,FALSE)</f>
        <v>PINTURA ACRÍLICA EM TETO, DUAS (2) DEMÃOS, COM APLICAÇÃO MANUAL, EXCLUSIVE SELADOR ACRÍLICO E MASSA ACRÍLICA/CORRIDA (PVA)</v>
      </c>
      <c r="D613" s="227"/>
      <c r="E613" s="227"/>
      <c r="F613" s="227"/>
      <c r="G613" s="227"/>
      <c r="H613" s="41" t="str">
        <f>VLOOKUP(A613,ORÇAMENTO!B:K,2,FALSE)</f>
        <v>SETOP</v>
      </c>
      <c r="I613" s="41" t="str">
        <f>VLOOKUP(A613,ORÇAMENTO!B:K,5,FALSE)</f>
        <v>m2</v>
      </c>
      <c r="J613" s="122">
        <f>J617</f>
        <v>35.9</v>
      </c>
      <c r="K613" s="1" t="s">
        <v>269</v>
      </c>
    </row>
    <row r="614" spans="1:85" s="1" customFormat="1" ht="14.25" customHeight="1" x14ac:dyDescent="0.2">
      <c r="A614" s="248"/>
      <c r="B614" s="249"/>
      <c r="C614" s="242"/>
      <c r="D614" s="230" t="s">
        <v>3</v>
      </c>
      <c r="E614" s="232" t="s">
        <v>0</v>
      </c>
      <c r="F614" s="230"/>
      <c r="G614" s="230"/>
      <c r="H614" s="230"/>
      <c r="I614" s="230"/>
      <c r="J614" s="234" t="s">
        <v>39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</row>
    <row r="615" spans="1:85" s="1" customFormat="1" ht="14.25" customHeight="1" x14ac:dyDescent="0.2">
      <c r="A615" s="248"/>
      <c r="B615" s="249"/>
      <c r="C615" s="242"/>
      <c r="D615" s="231"/>
      <c r="E615" s="233"/>
      <c r="F615" s="231"/>
      <c r="G615" s="231"/>
      <c r="H615" s="231"/>
      <c r="I615" s="231"/>
      <c r="J615" s="234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</row>
    <row r="616" spans="1:85" s="1" customFormat="1" ht="15" x14ac:dyDescent="0.2">
      <c r="A616" s="243" t="s">
        <v>286</v>
      </c>
      <c r="B616" s="244"/>
      <c r="C616" s="9"/>
      <c r="D616" s="7">
        <v>35.9</v>
      </c>
      <c r="E616" s="7">
        <v>1</v>
      </c>
      <c r="F616" s="3"/>
      <c r="G616" s="3"/>
      <c r="H616" s="3"/>
      <c r="I616" s="3"/>
      <c r="J616" s="123">
        <f>PRODUCT(D616:I616)</f>
        <v>35.9</v>
      </c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</row>
    <row r="617" spans="1:85" s="1" customFormat="1" ht="15" x14ac:dyDescent="0.25">
      <c r="A617" s="245" t="s">
        <v>1</v>
      </c>
      <c r="B617" s="246"/>
      <c r="C617" s="246"/>
      <c r="D617" s="246"/>
      <c r="E617" s="246"/>
      <c r="F617" s="246"/>
      <c r="G617" s="246"/>
      <c r="H617" s="246"/>
      <c r="I617" s="247"/>
      <c r="J617" s="125">
        <f>ROUND(SUM(J616:J616),2)</f>
        <v>35.9</v>
      </c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</row>
    <row r="618" spans="1:85" s="1" customFormat="1" ht="15" x14ac:dyDescent="0.25">
      <c r="A618" s="127"/>
      <c r="B618" s="8"/>
      <c r="C618" s="8"/>
      <c r="D618" s="8"/>
      <c r="E618" s="8"/>
      <c r="F618" s="8"/>
      <c r="G618" s="8"/>
      <c r="H618" s="8"/>
      <c r="I618" s="12"/>
      <c r="J618" s="136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</row>
    <row r="619" spans="1:85" s="1" customFormat="1" ht="49.7" customHeight="1" x14ac:dyDescent="0.2">
      <c r="A619" s="121" t="s">
        <v>376</v>
      </c>
      <c r="B619" s="40" t="s">
        <v>16</v>
      </c>
      <c r="C619" s="226" t="str">
        <f>VLOOKUP(A619,ORÇAMENTO!B:K,4,FALSE)</f>
        <v>PINTURA ACRÍLICA PARA PISO EM PASSEIO/SUPERFÍCIE CIMENTADA, DUAS (2) DEMÃOS, COM APLICAÇÃO MANUAL</v>
      </c>
      <c r="D619" s="227"/>
      <c r="E619" s="227"/>
      <c r="F619" s="227"/>
      <c r="G619" s="227"/>
      <c r="H619" s="41" t="str">
        <f>VLOOKUP(A619,ORÇAMENTO!B:K,2,FALSE)</f>
        <v>SETOP</v>
      </c>
      <c r="I619" s="41" t="str">
        <f>VLOOKUP(A619,ORÇAMENTO!B:K,5,FALSE)</f>
        <v>m2</v>
      </c>
      <c r="J619" s="122">
        <f>J623</f>
        <v>35.9</v>
      </c>
      <c r="K619" s="1" t="s">
        <v>269</v>
      </c>
    </row>
    <row r="620" spans="1:85" s="1" customFormat="1" ht="14.25" customHeight="1" x14ac:dyDescent="0.2">
      <c r="A620" s="248"/>
      <c r="B620" s="249"/>
      <c r="C620" s="242"/>
      <c r="D620" s="230" t="s">
        <v>3</v>
      </c>
      <c r="E620" s="232" t="s">
        <v>0</v>
      </c>
      <c r="F620" s="232"/>
      <c r="G620" s="230"/>
      <c r="H620" s="230"/>
      <c r="I620" s="230"/>
      <c r="J620" s="234" t="s">
        <v>39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</row>
    <row r="621" spans="1:85" s="1" customFormat="1" ht="14.25" customHeight="1" x14ac:dyDescent="0.2">
      <c r="A621" s="248"/>
      <c r="B621" s="249"/>
      <c r="C621" s="242"/>
      <c r="D621" s="231"/>
      <c r="E621" s="233"/>
      <c r="F621" s="233"/>
      <c r="G621" s="231"/>
      <c r="H621" s="231"/>
      <c r="I621" s="231"/>
      <c r="J621" s="234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</row>
    <row r="622" spans="1:85" s="1" customFormat="1" ht="15" x14ac:dyDescent="0.2">
      <c r="A622" s="243" t="s">
        <v>296</v>
      </c>
      <c r="B622" s="244"/>
      <c r="C622" s="9"/>
      <c r="D622" s="7">
        <v>35.9</v>
      </c>
      <c r="E622" s="7">
        <v>1</v>
      </c>
      <c r="F622" s="7"/>
      <c r="G622" s="3"/>
      <c r="H622" s="3"/>
      <c r="I622" s="3"/>
      <c r="J622" s="123">
        <f>PRODUCT(D622:I622)</f>
        <v>35.9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</row>
    <row r="623" spans="1:85" s="1" customFormat="1" ht="15" x14ac:dyDescent="0.25">
      <c r="A623" s="245" t="s">
        <v>1</v>
      </c>
      <c r="B623" s="246"/>
      <c r="C623" s="246"/>
      <c r="D623" s="246"/>
      <c r="E623" s="246"/>
      <c r="F623" s="246"/>
      <c r="G623" s="246"/>
      <c r="H623" s="246"/>
      <c r="I623" s="247"/>
      <c r="J623" s="125">
        <f>ROUND(SUM(J622:J622),2)</f>
        <v>35.9</v>
      </c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</row>
    <row r="624" spans="1:85" s="1" customFormat="1" ht="15" x14ac:dyDescent="0.25">
      <c r="A624" s="127"/>
      <c r="B624" s="8"/>
      <c r="C624" s="8"/>
      <c r="D624" s="8"/>
      <c r="E624" s="8"/>
      <c r="F624" s="8"/>
      <c r="G624" s="8"/>
      <c r="H624" s="8"/>
      <c r="I624" s="12"/>
      <c r="J624" s="136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</row>
    <row r="625" spans="1:85" s="1" customFormat="1" ht="49.7" customHeight="1" x14ac:dyDescent="0.2">
      <c r="A625" s="121" t="s">
        <v>377</v>
      </c>
      <c r="B625" s="40" t="s">
        <v>16</v>
      </c>
      <c r="C625" s="226" t="str">
        <f>VLOOKUP(A625,ORÇAMENTO!B:K,4,FALSE)</f>
        <v>PINTURA COM TINTA ALQUÍDICA DE ACABAMENTO (ESMALTE SINTÉTICO ACETINADO) PULVERIZADA SOBRE SUPERFÍCIES METÁLICAS (EXCETO PERFIL) EXECUTADO EM OBRA (02 DEMÃOS). AF_01/2020_PE</v>
      </c>
      <c r="D625" s="227"/>
      <c r="E625" s="227"/>
      <c r="F625" s="227"/>
      <c r="G625" s="227"/>
      <c r="H625" s="41" t="str">
        <f>VLOOKUP(A625,ORÇAMENTO!B:K,2,FALSE)</f>
        <v>SINAPI</v>
      </c>
      <c r="I625" s="41" t="str">
        <f>VLOOKUP(A625,ORÇAMENTO!B:K,5,FALSE)</f>
        <v>M2</v>
      </c>
      <c r="J625" s="122">
        <f>J632</f>
        <v>32.020000000000003</v>
      </c>
      <c r="K625" s="1" t="s">
        <v>269</v>
      </c>
    </row>
    <row r="626" spans="1:85" s="1" customFormat="1" ht="14.25" customHeight="1" x14ac:dyDescent="0.2">
      <c r="A626" s="248"/>
      <c r="B626" s="249"/>
      <c r="C626" s="242"/>
      <c r="D626" s="228" t="s">
        <v>43</v>
      </c>
      <c r="E626" s="230" t="s">
        <v>44</v>
      </c>
      <c r="F626" s="232" t="s">
        <v>0</v>
      </c>
      <c r="G626" s="230"/>
      <c r="H626" s="230"/>
      <c r="I626" s="230"/>
      <c r="J626" s="234" t="s">
        <v>39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</row>
    <row r="627" spans="1:85" s="1" customFormat="1" ht="14.25" customHeight="1" x14ac:dyDescent="0.2">
      <c r="A627" s="248"/>
      <c r="B627" s="249"/>
      <c r="C627" s="242"/>
      <c r="D627" s="229"/>
      <c r="E627" s="231"/>
      <c r="F627" s="233"/>
      <c r="G627" s="231"/>
      <c r="H627" s="231"/>
      <c r="I627" s="231"/>
      <c r="J627" s="234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</row>
    <row r="628" spans="1:85" s="1" customFormat="1" ht="15" x14ac:dyDescent="0.2">
      <c r="A628" s="243" t="s">
        <v>102</v>
      </c>
      <c r="B628" s="244"/>
      <c r="C628" s="9" t="s">
        <v>298</v>
      </c>
      <c r="D628" s="4">
        <v>1.2</v>
      </c>
      <c r="E628" s="4">
        <v>2.15</v>
      </c>
      <c r="F628" s="7">
        <v>1</v>
      </c>
      <c r="G628" s="3"/>
      <c r="H628" s="3"/>
      <c r="I628" s="3"/>
      <c r="J628" s="123">
        <f t="shared" ref="J628:J631" si="55">PRODUCT(D628:I628)</f>
        <v>2.5799999999999996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</row>
    <row r="629" spans="1:85" s="1" customFormat="1" ht="15" x14ac:dyDescent="0.2">
      <c r="A629" s="243" t="s">
        <v>120</v>
      </c>
      <c r="B629" s="244"/>
      <c r="C629" s="9" t="s">
        <v>299</v>
      </c>
      <c r="D629" s="4">
        <v>2</v>
      </c>
      <c r="E629" s="4">
        <v>1.2</v>
      </c>
      <c r="F629" s="7">
        <v>2</v>
      </c>
      <c r="G629" s="3"/>
      <c r="H629" s="3"/>
      <c r="I629" s="3"/>
      <c r="J629" s="123">
        <f t="shared" si="55"/>
        <v>4.8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</row>
    <row r="630" spans="1:85" s="1" customFormat="1" ht="15" x14ac:dyDescent="0.2">
      <c r="A630" s="243" t="s">
        <v>297</v>
      </c>
      <c r="B630" s="244"/>
      <c r="C630" s="9" t="s">
        <v>300</v>
      </c>
      <c r="D630" s="7">
        <v>3.08</v>
      </c>
      <c r="E630" s="7">
        <v>4</v>
      </c>
      <c r="F630" s="7">
        <v>2</v>
      </c>
      <c r="G630" s="3"/>
      <c r="H630" s="3"/>
      <c r="I630" s="3"/>
      <c r="J630" s="123">
        <f t="shared" si="55"/>
        <v>24.64</v>
      </c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</row>
    <row r="631" spans="1:85" s="1" customFormat="1" x14ac:dyDescent="0.2">
      <c r="A631" s="243" t="s">
        <v>320</v>
      </c>
      <c r="B631" s="244"/>
      <c r="C631" s="4"/>
      <c r="D631" s="4">
        <v>6.36</v>
      </c>
      <c r="E631" s="7">
        <v>0.12</v>
      </c>
      <c r="F631" s="7">
        <v>3</v>
      </c>
      <c r="G631" s="3"/>
      <c r="H631" s="3"/>
      <c r="I631" s="3"/>
      <c r="J631" s="123">
        <f t="shared" si="55"/>
        <v>2.2896000000000001</v>
      </c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</row>
    <row r="632" spans="1:85" s="1" customFormat="1" ht="15" x14ac:dyDescent="0.25">
      <c r="A632" s="245" t="s">
        <v>1</v>
      </c>
      <c r="B632" s="246"/>
      <c r="C632" s="246"/>
      <c r="D632" s="246"/>
      <c r="E632" s="246"/>
      <c r="F632" s="246"/>
      <c r="G632" s="246"/>
      <c r="H632" s="246"/>
      <c r="I632" s="247"/>
      <c r="J632" s="125">
        <f>ROUND(SUM(J628:J630),2)</f>
        <v>32.020000000000003</v>
      </c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</row>
    <row r="633" spans="1:85" s="1" customFormat="1" ht="15" x14ac:dyDescent="0.25">
      <c r="A633" s="127"/>
      <c r="B633" s="8"/>
      <c r="C633" s="8"/>
      <c r="D633" s="8"/>
      <c r="E633" s="8"/>
      <c r="F633" s="8"/>
      <c r="G633" s="8"/>
      <c r="H633" s="8"/>
      <c r="I633" s="12"/>
      <c r="J633" s="136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</row>
    <row r="634" spans="1:85" s="1" customFormat="1" ht="49.7" customHeight="1" x14ac:dyDescent="0.2">
      <c r="A634" s="121" t="s">
        <v>378</v>
      </c>
      <c r="B634" s="40" t="s">
        <v>16</v>
      </c>
      <c r="C634" s="226" t="str">
        <f>VLOOKUP(A634,ORÇAMENTO!B:K,4,FALSE)</f>
        <v>FORNECIMENTO DE ANDAIME METÁLICO TUBULAR TIPO TORRE (LOCAÇÃO), INCLUSIVE RODÍZIOS, EXCLUSIVE MONTAGEM E DESMONTAGEM</v>
      </c>
      <c r="D634" s="227"/>
      <c r="E634" s="227"/>
      <c r="F634" s="227"/>
      <c r="G634" s="227"/>
      <c r="H634" s="41" t="str">
        <f>VLOOKUP(A634,ORÇAMENTO!B:K,2,FALSE)</f>
        <v>SETOP</v>
      </c>
      <c r="I634" s="41" t="str">
        <f>VLOOKUP(A634,ORÇAMENTO!B:K,5,FALSE)</f>
        <v>mxmês</v>
      </c>
      <c r="J634" s="122">
        <f>J638</f>
        <v>286</v>
      </c>
      <c r="K634" s="1" t="s">
        <v>269</v>
      </c>
    </row>
    <row r="635" spans="1:85" s="1" customFormat="1" ht="14.25" customHeight="1" x14ac:dyDescent="0.2">
      <c r="A635" s="248"/>
      <c r="B635" s="249"/>
      <c r="C635" s="242"/>
      <c r="D635" s="230" t="s">
        <v>431</v>
      </c>
      <c r="E635" s="230" t="s">
        <v>432</v>
      </c>
      <c r="F635" s="232" t="s">
        <v>433</v>
      </c>
      <c r="G635" s="230"/>
      <c r="H635" s="230"/>
      <c r="I635" s="230"/>
      <c r="J635" s="234" t="s">
        <v>302</v>
      </c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</row>
    <row r="636" spans="1:85" s="1" customFormat="1" ht="14.25" customHeight="1" x14ac:dyDescent="0.2">
      <c r="A636" s="248"/>
      <c r="B636" s="249"/>
      <c r="C636" s="242"/>
      <c r="D636" s="231"/>
      <c r="E636" s="231"/>
      <c r="F636" s="233"/>
      <c r="G636" s="231"/>
      <c r="H636" s="231"/>
      <c r="I636" s="231"/>
      <c r="J636" s="234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</row>
    <row r="637" spans="1:85" s="1" customFormat="1" ht="15" x14ac:dyDescent="0.2">
      <c r="A637" s="243" t="s">
        <v>301</v>
      </c>
      <c r="B637" s="244"/>
      <c r="C637" s="9"/>
      <c r="D637" s="4">
        <v>26</v>
      </c>
      <c r="E637" s="4">
        <v>11</v>
      </c>
      <c r="F637" s="7">
        <v>1</v>
      </c>
      <c r="G637" s="3"/>
      <c r="H637" s="3"/>
      <c r="I637" s="3"/>
      <c r="J637" s="123">
        <f>PRODUCT(D637:I637)</f>
        <v>286</v>
      </c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</row>
    <row r="638" spans="1:85" s="1" customFormat="1" ht="15" x14ac:dyDescent="0.25">
      <c r="A638" s="245" t="s">
        <v>1</v>
      </c>
      <c r="B638" s="246"/>
      <c r="C638" s="246"/>
      <c r="D638" s="246"/>
      <c r="E638" s="246"/>
      <c r="F638" s="246"/>
      <c r="G638" s="246"/>
      <c r="H638" s="246"/>
      <c r="I638" s="247"/>
      <c r="J638" s="125">
        <f>ROUND(SUM(J637:J637),2)</f>
        <v>286</v>
      </c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</row>
    <row r="639" spans="1:85" s="1" customFormat="1" ht="15" x14ac:dyDescent="0.25">
      <c r="A639" s="127"/>
      <c r="B639" s="8"/>
      <c r="C639" s="8"/>
      <c r="D639" s="8"/>
      <c r="E639" s="8"/>
      <c r="F639" s="8"/>
      <c r="G639" s="8"/>
      <c r="H639" s="8"/>
      <c r="I639" s="12"/>
      <c r="J639" s="136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</row>
    <row r="640" spans="1:85" s="1" customFormat="1" ht="20.100000000000001" customHeight="1" x14ac:dyDescent="0.2">
      <c r="A640" s="129" t="s">
        <v>379</v>
      </c>
      <c r="B640" s="257" t="str">
        <f>VLOOKUP(A640,ORÇAMENTO!B:K,2,FALSE)</f>
        <v>INSTALAÇÕES</v>
      </c>
      <c r="C640" s="258"/>
      <c r="D640" s="258"/>
      <c r="E640" s="258"/>
      <c r="F640" s="258"/>
      <c r="G640" s="258"/>
      <c r="H640" s="258"/>
      <c r="I640" s="258"/>
      <c r="J640" s="259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</row>
    <row r="641" spans="1:85" s="1" customFormat="1" ht="15" x14ac:dyDescent="0.25">
      <c r="A641" s="130"/>
      <c r="B641" s="26"/>
      <c r="C641" s="12"/>
      <c r="D641" s="12"/>
      <c r="E641" s="12"/>
      <c r="F641" s="12"/>
      <c r="G641" s="12"/>
      <c r="H641" s="26"/>
      <c r="I641" s="26"/>
      <c r="J641" s="131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</row>
    <row r="642" spans="1:85" s="1" customFormat="1" ht="49.7" customHeight="1" x14ac:dyDescent="0.2">
      <c r="A642" s="121" t="s">
        <v>380</v>
      </c>
      <c r="B642" s="40" t="s">
        <v>16</v>
      </c>
      <c r="C642" s="226" t="str">
        <f>VLOOKUP(A642,ORÇAMENTO!B:K,4,FALSE)</f>
        <v>LÂMPADA LED, BASE E27, POTÊNCIA 15W, BULBO A65, TEMPERATURA DA COR 6500K, TENSÃO 110-127V, FORNECIMENTO E INSTALAÇÃO, EXCLUSIVE LUMINÁRIA</v>
      </c>
      <c r="D642" s="227"/>
      <c r="E642" s="227"/>
      <c r="F642" s="227"/>
      <c r="G642" s="227"/>
      <c r="H642" s="41" t="str">
        <f>VLOOKUP(A642,ORÇAMENTO!B:K,2,FALSE)</f>
        <v>SETOP</v>
      </c>
      <c r="I642" s="41" t="str">
        <f>VLOOKUP(A642,ORÇAMENTO!B:K,5,FALSE)</f>
        <v>un</v>
      </c>
      <c r="J642" s="122">
        <f>J646</f>
        <v>5</v>
      </c>
      <c r="K642" s="1" t="s">
        <v>269</v>
      </c>
    </row>
    <row r="643" spans="1:85" s="1" customFormat="1" ht="14.25" customHeight="1" x14ac:dyDescent="0.2">
      <c r="A643" s="248"/>
      <c r="B643" s="249"/>
      <c r="C643" s="242"/>
      <c r="D643" s="242" t="s">
        <v>40</v>
      </c>
      <c r="E643" s="249"/>
      <c r="F643" s="230"/>
      <c r="G643" s="230"/>
      <c r="H643" s="230"/>
      <c r="I643" s="230"/>
      <c r="J643" s="234" t="s">
        <v>65</v>
      </c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</row>
    <row r="644" spans="1:85" s="1" customFormat="1" ht="14.25" customHeight="1" x14ac:dyDescent="0.2">
      <c r="A644" s="248"/>
      <c r="B644" s="249"/>
      <c r="C644" s="242"/>
      <c r="D644" s="242"/>
      <c r="E644" s="249"/>
      <c r="F644" s="231"/>
      <c r="G644" s="231"/>
      <c r="H644" s="231"/>
      <c r="I644" s="231"/>
      <c r="J644" s="234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</row>
    <row r="645" spans="1:85" s="1" customFormat="1" ht="15" x14ac:dyDescent="0.2">
      <c r="A645" s="243"/>
      <c r="B645" s="244"/>
      <c r="C645" s="9"/>
      <c r="D645" s="4">
        <v>5</v>
      </c>
      <c r="E645" s="4"/>
      <c r="F645" s="3"/>
      <c r="G645" s="3"/>
      <c r="H645" s="3"/>
      <c r="I645" s="3"/>
      <c r="J645" s="123">
        <f>PRODUCT(D645:I645)</f>
        <v>5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</row>
    <row r="646" spans="1:85" s="1" customFormat="1" ht="15" x14ac:dyDescent="0.25">
      <c r="A646" s="245" t="s">
        <v>1</v>
      </c>
      <c r="B646" s="246"/>
      <c r="C646" s="246"/>
      <c r="D646" s="246"/>
      <c r="E646" s="246"/>
      <c r="F646" s="246"/>
      <c r="G646" s="246"/>
      <c r="H646" s="246"/>
      <c r="I646" s="247"/>
      <c r="J646" s="125">
        <f>ROUND(SUM(J645:J645),2)</f>
        <v>5</v>
      </c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</row>
    <row r="647" spans="1:85" s="1" customFormat="1" ht="15" x14ac:dyDescent="0.25">
      <c r="A647" s="127"/>
      <c r="B647" s="8"/>
      <c r="C647" s="8"/>
      <c r="D647" s="8"/>
      <c r="E647" s="8"/>
      <c r="F647" s="8"/>
      <c r="G647" s="8"/>
      <c r="H647" s="8"/>
      <c r="I647" s="12"/>
      <c r="J647" s="13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</row>
    <row r="648" spans="1:85" s="1" customFormat="1" ht="49.7" customHeight="1" x14ac:dyDescent="0.2">
      <c r="A648" s="121" t="s">
        <v>381</v>
      </c>
      <c r="B648" s="40" t="s">
        <v>16</v>
      </c>
      <c r="C648" s="226" t="str">
        <f>VLOOKUP(A648,ORÇAMENTO!B:K,4,FALSE)</f>
        <v>ELETRODUTO DE AÇO GALVANIZADO LEVE, INCLUSIVE CONEXÕES, SUPORTES E FIXAÇÃO DN 20 (3/4")</v>
      </c>
      <c r="D648" s="227"/>
      <c r="E648" s="227"/>
      <c r="F648" s="227"/>
      <c r="G648" s="227"/>
      <c r="H648" s="41" t="str">
        <f>VLOOKUP(A648,ORÇAMENTO!B:K,2,FALSE)</f>
        <v>SETOP</v>
      </c>
      <c r="I648" s="41" t="str">
        <f>VLOOKUP(A648,ORÇAMENTO!B:K,5,FALSE)</f>
        <v>m</v>
      </c>
      <c r="J648" s="122">
        <f>J652</f>
        <v>22</v>
      </c>
      <c r="K648" s="1" t="s">
        <v>269</v>
      </c>
    </row>
    <row r="649" spans="1:85" s="1" customFormat="1" ht="14.25" customHeight="1" x14ac:dyDescent="0.2">
      <c r="A649" s="248"/>
      <c r="B649" s="249"/>
      <c r="C649" s="242"/>
      <c r="D649" s="242" t="s">
        <v>43</v>
      </c>
      <c r="E649" s="249"/>
      <c r="F649" s="230"/>
      <c r="G649" s="230"/>
      <c r="H649" s="230"/>
      <c r="I649" s="230"/>
      <c r="J649" s="234" t="s">
        <v>309</v>
      </c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</row>
    <row r="650" spans="1:85" s="1" customFormat="1" ht="14.25" customHeight="1" x14ac:dyDescent="0.2">
      <c r="A650" s="248"/>
      <c r="B650" s="249"/>
      <c r="C650" s="242"/>
      <c r="D650" s="242"/>
      <c r="E650" s="249"/>
      <c r="F650" s="231"/>
      <c r="G650" s="231"/>
      <c r="H650" s="231"/>
      <c r="I650" s="231"/>
      <c r="J650" s="234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</row>
    <row r="651" spans="1:85" s="1" customFormat="1" ht="15" x14ac:dyDescent="0.2">
      <c r="A651" s="243"/>
      <c r="B651" s="244"/>
      <c r="C651" s="9"/>
      <c r="D651" s="4">
        <v>22</v>
      </c>
      <c r="E651" s="4"/>
      <c r="F651" s="3"/>
      <c r="G651" s="3"/>
      <c r="H651" s="3"/>
      <c r="I651" s="3"/>
      <c r="J651" s="123">
        <f>PRODUCT(D651:I651)</f>
        <v>22</v>
      </c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</row>
    <row r="652" spans="1:85" s="1" customFormat="1" ht="15" x14ac:dyDescent="0.25">
      <c r="A652" s="245" t="s">
        <v>1</v>
      </c>
      <c r="B652" s="246"/>
      <c r="C652" s="246"/>
      <c r="D652" s="246"/>
      <c r="E652" s="246"/>
      <c r="F652" s="246"/>
      <c r="G652" s="246"/>
      <c r="H652" s="246"/>
      <c r="I652" s="247"/>
      <c r="J652" s="125">
        <f>ROUND(SUM(J651:J651),2)</f>
        <v>22</v>
      </c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</row>
    <row r="653" spans="1:85" s="1" customFormat="1" ht="15" x14ac:dyDescent="0.25">
      <c r="A653" s="127"/>
      <c r="B653" s="8"/>
      <c r="C653" s="8"/>
      <c r="D653" s="8"/>
      <c r="E653" s="8"/>
      <c r="F653" s="8"/>
      <c r="G653" s="8"/>
      <c r="H653" s="8"/>
      <c r="I653" s="12"/>
      <c r="J653" s="13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</row>
    <row r="654" spans="1:85" s="1" customFormat="1" ht="49.7" customHeight="1" x14ac:dyDescent="0.2">
      <c r="A654" s="121" t="s">
        <v>382</v>
      </c>
      <c r="B654" s="40" t="s">
        <v>16</v>
      </c>
      <c r="C654" s="226" t="str">
        <f>VLOOKUP(A654,ORÇAMENTO!B:K,4,FALSE)</f>
        <v>CABO DE COBRE FLEXÍVEL, CLASSE 5, ISOLAMENTO TIPO LSHF/ATOX, NÃO HALOGENADO, ANTICHAMA, TERMOPLÁSTICO, UNIPOLAR, SEÇÃO 1,5 MM2, 70°C, 450/750V</v>
      </c>
      <c r="D654" s="227"/>
      <c r="E654" s="227"/>
      <c r="F654" s="227"/>
      <c r="G654" s="227"/>
      <c r="H654" s="41" t="str">
        <f>VLOOKUP(A654,ORÇAMENTO!B:K,2,FALSE)</f>
        <v>SETOP</v>
      </c>
      <c r="I654" s="41" t="str">
        <f>VLOOKUP(A654,ORÇAMENTO!B:K,5,FALSE)</f>
        <v>m</v>
      </c>
      <c r="J654" s="122">
        <f>J658</f>
        <v>66</v>
      </c>
      <c r="K654" s="1" t="s">
        <v>269</v>
      </c>
    </row>
    <row r="655" spans="1:85" s="1" customFormat="1" ht="14.25" customHeight="1" x14ac:dyDescent="0.2">
      <c r="A655" s="248"/>
      <c r="B655" s="249"/>
      <c r="C655" s="242"/>
      <c r="D655" s="242" t="s">
        <v>43</v>
      </c>
      <c r="E655" s="249" t="s">
        <v>434</v>
      </c>
      <c r="F655" s="230"/>
      <c r="G655" s="230"/>
      <c r="H655" s="230"/>
      <c r="I655" s="230"/>
      <c r="J655" s="234" t="s">
        <v>309</v>
      </c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</row>
    <row r="656" spans="1:85" s="1" customFormat="1" ht="14.25" customHeight="1" x14ac:dyDescent="0.2">
      <c r="A656" s="248"/>
      <c r="B656" s="249"/>
      <c r="C656" s="242"/>
      <c r="D656" s="242"/>
      <c r="E656" s="249"/>
      <c r="F656" s="231"/>
      <c r="G656" s="231"/>
      <c r="H656" s="231"/>
      <c r="I656" s="231"/>
      <c r="J656" s="234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</row>
    <row r="657" spans="1:85" s="1" customFormat="1" ht="15" x14ac:dyDescent="0.2">
      <c r="A657" s="243"/>
      <c r="B657" s="244"/>
      <c r="C657" s="9"/>
      <c r="D657" s="4">
        <v>22</v>
      </c>
      <c r="E657" s="4">
        <v>3</v>
      </c>
      <c r="F657" s="3"/>
      <c r="G657" s="3"/>
      <c r="H657" s="3"/>
      <c r="I657" s="3"/>
      <c r="J657" s="123">
        <f>PRODUCT(D657:I657)</f>
        <v>66</v>
      </c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</row>
    <row r="658" spans="1:85" s="1" customFormat="1" ht="15" x14ac:dyDescent="0.25">
      <c r="A658" s="245" t="s">
        <v>1</v>
      </c>
      <c r="B658" s="246"/>
      <c r="C658" s="246"/>
      <c r="D658" s="246"/>
      <c r="E658" s="246"/>
      <c r="F658" s="246"/>
      <c r="G658" s="246"/>
      <c r="H658" s="246"/>
      <c r="I658" s="247"/>
      <c r="J658" s="125">
        <f>ROUND(SUM(J657:J657),2)</f>
        <v>66</v>
      </c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</row>
    <row r="659" spans="1:85" s="1" customFormat="1" ht="15" x14ac:dyDescent="0.25">
      <c r="A659" s="127"/>
      <c r="B659" s="8"/>
      <c r="C659" s="8"/>
      <c r="D659" s="8"/>
      <c r="E659" s="8"/>
      <c r="F659" s="8"/>
      <c r="G659" s="8"/>
      <c r="H659" s="8"/>
      <c r="I659" s="12"/>
      <c r="J659" s="13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</row>
    <row r="660" spans="1:85" s="1" customFormat="1" ht="49.7" customHeight="1" x14ac:dyDescent="0.2">
      <c r="A660" s="121" t="s">
        <v>383</v>
      </c>
      <c r="B660" s="40" t="s">
        <v>16</v>
      </c>
      <c r="C660" s="226" t="str">
        <f>VLOOKUP(A660,ORÇAMENTO!B:K,4,FALSE)</f>
        <v>LUMINÁRIA TIPO PLAFON CIRCULAR, DE SOBREPOR, COM LED DE 12/13 W - FORNECIMENTO E INSTALAÇÃO. AF_09/2024</v>
      </c>
      <c r="D660" s="227"/>
      <c r="E660" s="227"/>
      <c r="F660" s="227"/>
      <c r="G660" s="227"/>
      <c r="H660" s="41" t="str">
        <f>VLOOKUP(A660,ORÇAMENTO!B:K,2,FALSE)</f>
        <v>SINAPI</v>
      </c>
      <c r="I660" s="41" t="str">
        <f>VLOOKUP(A660,ORÇAMENTO!B:K,5,FALSE)</f>
        <v>UN</v>
      </c>
      <c r="J660" s="122">
        <f>J664</f>
        <v>4</v>
      </c>
      <c r="K660" s="1" t="s">
        <v>269</v>
      </c>
    </row>
    <row r="661" spans="1:85" s="1" customFormat="1" ht="14.25" customHeight="1" x14ac:dyDescent="0.2">
      <c r="A661" s="248"/>
      <c r="B661" s="249"/>
      <c r="C661" s="242"/>
      <c r="D661" s="242" t="s">
        <v>40</v>
      </c>
      <c r="E661" s="249"/>
      <c r="F661" s="230"/>
      <c r="G661" s="230"/>
      <c r="H661" s="230"/>
      <c r="I661" s="230"/>
      <c r="J661" s="234" t="s">
        <v>65</v>
      </c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</row>
    <row r="662" spans="1:85" s="1" customFormat="1" ht="14.25" customHeight="1" x14ac:dyDescent="0.2">
      <c r="A662" s="248"/>
      <c r="B662" s="249"/>
      <c r="C662" s="242"/>
      <c r="D662" s="242"/>
      <c r="E662" s="249"/>
      <c r="F662" s="231"/>
      <c r="G662" s="231"/>
      <c r="H662" s="231"/>
      <c r="I662" s="231"/>
      <c r="J662" s="234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</row>
    <row r="663" spans="1:85" s="1" customFormat="1" ht="15" x14ac:dyDescent="0.2">
      <c r="A663" s="243"/>
      <c r="B663" s="244"/>
      <c r="C663" s="9"/>
      <c r="D663" s="4">
        <v>4</v>
      </c>
      <c r="E663" s="4"/>
      <c r="F663" s="3"/>
      <c r="G663" s="3"/>
      <c r="H663" s="3"/>
      <c r="I663" s="3"/>
      <c r="J663" s="123">
        <f>PRODUCT(D663:I663)</f>
        <v>4</v>
      </c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</row>
    <row r="664" spans="1:85" s="1" customFormat="1" ht="15" x14ac:dyDescent="0.25">
      <c r="A664" s="245" t="s">
        <v>1</v>
      </c>
      <c r="B664" s="246"/>
      <c r="C664" s="246"/>
      <c r="D664" s="246"/>
      <c r="E664" s="246"/>
      <c r="F664" s="246"/>
      <c r="G664" s="246"/>
      <c r="H664" s="246"/>
      <c r="I664" s="247"/>
      <c r="J664" s="125">
        <f>ROUND(SUM(J663:J663),2)</f>
        <v>4</v>
      </c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</row>
    <row r="665" spans="1:85" s="1" customFormat="1" ht="15" x14ac:dyDescent="0.25">
      <c r="A665" s="127"/>
      <c r="B665" s="8"/>
      <c r="C665" s="8"/>
      <c r="D665" s="8"/>
      <c r="E665" s="8"/>
      <c r="F665" s="8"/>
      <c r="G665" s="8"/>
      <c r="H665" s="8"/>
      <c r="I665" s="12"/>
      <c r="J665" s="136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</row>
    <row r="666" spans="1:85" s="1" customFormat="1" ht="49.7" customHeight="1" x14ac:dyDescent="0.2">
      <c r="A666" s="121" t="s">
        <v>384</v>
      </c>
      <c r="B666" s="40" t="s">
        <v>16</v>
      </c>
      <c r="C666" s="226" t="str">
        <f>VLOOKUP(A666,ORÇAMENTO!B:K,4,FALSE)</f>
        <v>INTERRUPTOR SIMPLES (1 MÓDULO), 10A/250V, INCLUINDO SUPORTE E PLACA - FORNECIMENTO E INSTALAÇÃO. AF_03/2023</v>
      </c>
      <c r="D666" s="227"/>
      <c r="E666" s="227"/>
      <c r="F666" s="227"/>
      <c r="G666" s="227"/>
      <c r="H666" s="41" t="str">
        <f>VLOOKUP(A666,ORÇAMENTO!B:K,2,FALSE)</f>
        <v>SINAPI</v>
      </c>
      <c r="I666" s="41" t="str">
        <f>VLOOKUP(A666,ORÇAMENTO!B:K,5,FALSE)</f>
        <v>UN</v>
      </c>
      <c r="J666" s="122">
        <f>J670</f>
        <v>1</v>
      </c>
      <c r="K666" s="1" t="s">
        <v>269</v>
      </c>
    </row>
    <row r="667" spans="1:85" s="1" customFormat="1" ht="14.25" customHeight="1" x14ac:dyDescent="0.2">
      <c r="A667" s="248"/>
      <c r="B667" s="249"/>
      <c r="C667" s="242"/>
      <c r="D667" s="242" t="s">
        <v>40</v>
      </c>
      <c r="E667" s="249"/>
      <c r="F667" s="230"/>
      <c r="G667" s="230"/>
      <c r="H667" s="230"/>
      <c r="I667" s="230"/>
      <c r="J667" s="234" t="s">
        <v>65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</row>
    <row r="668" spans="1:85" s="1" customFormat="1" ht="14.25" customHeight="1" x14ac:dyDescent="0.2">
      <c r="A668" s="248"/>
      <c r="B668" s="249"/>
      <c r="C668" s="242"/>
      <c r="D668" s="242"/>
      <c r="E668" s="249"/>
      <c r="F668" s="231"/>
      <c r="G668" s="231"/>
      <c r="H668" s="231"/>
      <c r="I668" s="231"/>
      <c r="J668" s="234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</row>
    <row r="669" spans="1:85" s="1" customFormat="1" ht="15" x14ac:dyDescent="0.2">
      <c r="A669" s="243"/>
      <c r="B669" s="244"/>
      <c r="C669" s="9"/>
      <c r="D669" s="4">
        <v>1</v>
      </c>
      <c r="E669" s="4"/>
      <c r="F669" s="3"/>
      <c r="G669" s="3"/>
      <c r="H669" s="3"/>
      <c r="I669" s="3"/>
      <c r="J669" s="123">
        <f>PRODUCT(D669:I669)</f>
        <v>1</v>
      </c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</row>
    <row r="670" spans="1:85" s="1" customFormat="1" ht="15" x14ac:dyDescent="0.25">
      <c r="A670" s="245" t="s">
        <v>1</v>
      </c>
      <c r="B670" s="246"/>
      <c r="C670" s="246"/>
      <c r="D670" s="246"/>
      <c r="E670" s="246"/>
      <c r="F670" s="246"/>
      <c r="G670" s="246"/>
      <c r="H670" s="246"/>
      <c r="I670" s="247"/>
      <c r="J670" s="125">
        <f>ROUND(SUM(J669:J669),2)</f>
        <v>1</v>
      </c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</row>
    <row r="671" spans="1:85" s="1" customFormat="1" ht="15" x14ac:dyDescent="0.25">
      <c r="A671" s="127"/>
      <c r="B671" s="8"/>
      <c r="C671" s="8"/>
      <c r="D671" s="8"/>
      <c r="E671" s="8"/>
      <c r="F671" s="8"/>
      <c r="G671" s="8"/>
      <c r="H671" s="8"/>
      <c r="I671" s="12"/>
      <c r="J671" s="136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</row>
    <row r="672" spans="1:85" s="1" customFormat="1" ht="20.100000000000001" customHeight="1" x14ac:dyDescent="0.2">
      <c r="A672" s="129" t="s">
        <v>385</v>
      </c>
      <c r="B672" s="257" t="str">
        <f>VLOOKUP(A672,ORÇAMENTO!B:K,2,FALSE)</f>
        <v>CONSTRUÇÃO DA ESCADA</v>
      </c>
      <c r="C672" s="258"/>
      <c r="D672" s="258"/>
      <c r="E672" s="258"/>
      <c r="F672" s="258"/>
      <c r="G672" s="258"/>
      <c r="H672" s="258"/>
      <c r="I672" s="258"/>
      <c r="J672" s="259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</row>
    <row r="673" spans="1:85" s="1" customFormat="1" ht="15" x14ac:dyDescent="0.25">
      <c r="A673" s="130"/>
      <c r="B673" s="26"/>
      <c r="C673" s="12"/>
      <c r="D673" s="12"/>
      <c r="E673" s="12"/>
      <c r="F673" s="12"/>
      <c r="G673" s="12"/>
      <c r="H673" s="26"/>
      <c r="I673" s="26"/>
      <c r="J673" s="13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</row>
    <row r="674" spans="1:85" s="1" customFormat="1" ht="15" x14ac:dyDescent="0.2">
      <c r="A674" s="137" t="s">
        <v>386</v>
      </c>
      <c r="B674" s="252" t="str">
        <f>VLOOKUP(A674,ORÇAMENTO!B:K,2,FALSE)</f>
        <v>MOVIMENTO DE TERRA</v>
      </c>
      <c r="C674" s="253"/>
      <c r="D674" s="253"/>
      <c r="E674" s="253"/>
      <c r="F674" s="253"/>
      <c r="G674" s="253"/>
      <c r="H674" s="253"/>
      <c r="I674" s="253"/>
      <c r="J674" s="254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</row>
    <row r="675" spans="1:85" s="1" customFormat="1" ht="15" x14ac:dyDescent="0.25">
      <c r="A675" s="130"/>
      <c r="B675" s="26"/>
      <c r="C675" s="12"/>
      <c r="D675" s="12"/>
      <c r="E675" s="12"/>
      <c r="F675" s="12"/>
      <c r="G675" s="12"/>
      <c r="H675" s="26"/>
      <c r="I675" s="26"/>
      <c r="J675" s="13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</row>
    <row r="676" spans="1:85" s="1" customFormat="1" ht="49.7" customHeight="1" x14ac:dyDescent="0.2">
      <c r="A676" s="121" t="s">
        <v>387</v>
      </c>
      <c r="B676" s="40" t="s">
        <v>16</v>
      </c>
      <c r="C676" s="226" t="str">
        <f>VLOOKUP(A676,ORÇAMENTO!B:K,4,FALSE)</f>
        <v>ESCAVAÇÃO MANUAL DE VALA COM PROFUNDIDADE MENOR OU IGUAL A 1,5M, INCLUSIVE DESCARGA LATERAL</v>
      </c>
      <c r="D676" s="227"/>
      <c r="E676" s="227"/>
      <c r="F676" s="227"/>
      <c r="G676" s="227"/>
      <c r="H676" s="41" t="str">
        <f>VLOOKUP(A676,ORÇAMENTO!B:K,2,FALSE)</f>
        <v>SETOP</v>
      </c>
      <c r="I676" s="41" t="str">
        <f>VLOOKUP(A676,ORÇAMENTO!B:K,5,FALSE)</f>
        <v>m3</v>
      </c>
      <c r="J676" s="122">
        <f>J680</f>
        <v>8.4700000000000006</v>
      </c>
    </row>
    <row r="677" spans="1:85" s="1" customFormat="1" x14ac:dyDescent="0.2">
      <c r="A677" s="248"/>
      <c r="B677" s="249"/>
      <c r="C677" s="242"/>
      <c r="D677" s="242" t="s">
        <v>304</v>
      </c>
      <c r="E677" s="242" t="s">
        <v>305</v>
      </c>
      <c r="F677" s="255" t="s">
        <v>306</v>
      </c>
      <c r="G677" s="230" t="s">
        <v>0</v>
      </c>
      <c r="H677" s="230"/>
      <c r="I677" s="230"/>
      <c r="J677" s="234" t="s">
        <v>308</v>
      </c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</row>
    <row r="678" spans="1:85" s="1" customFormat="1" x14ac:dyDescent="0.2">
      <c r="A678" s="248"/>
      <c r="B678" s="249"/>
      <c r="C678" s="242"/>
      <c r="D678" s="242"/>
      <c r="E678" s="242"/>
      <c r="F678" s="256"/>
      <c r="G678" s="231"/>
      <c r="H678" s="231"/>
      <c r="I678" s="231"/>
      <c r="J678" s="234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</row>
    <row r="679" spans="1:85" s="1" customFormat="1" ht="15" x14ac:dyDescent="0.2">
      <c r="A679" s="243" t="s">
        <v>319</v>
      </c>
      <c r="B679" s="244"/>
      <c r="C679" s="9" t="s">
        <v>303</v>
      </c>
      <c r="D679" s="4">
        <f>0.6+0.1</f>
        <v>0.7</v>
      </c>
      <c r="E679" s="4">
        <f>0.6+0.1</f>
        <v>0.7</v>
      </c>
      <c r="F679" s="4">
        <f>1.05+0.03</f>
        <v>1.08</v>
      </c>
      <c r="G679" s="4">
        <f>16</f>
        <v>16</v>
      </c>
      <c r="H679" s="3"/>
      <c r="I679" s="3"/>
      <c r="J679" s="123">
        <f>PRODUCT(D679:I679)</f>
        <v>8.4672000000000001</v>
      </c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</row>
    <row r="680" spans="1:85" s="1" customFormat="1" ht="15" x14ac:dyDescent="0.25">
      <c r="A680" s="245" t="s">
        <v>1</v>
      </c>
      <c r="B680" s="246"/>
      <c r="C680" s="246"/>
      <c r="D680" s="246"/>
      <c r="E680" s="246"/>
      <c r="F680" s="246"/>
      <c r="G680" s="246"/>
      <c r="H680" s="246"/>
      <c r="I680" s="247"/>
      <c r="J680" s="125">
        <f>ROUND(SUM(J679:J679),2)</f>
        <v>8.4700000000000006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</row>
    <row r="681" spans="1:85" s="1" customFormat="1" ht="15" x14ac:dyDescent="0.25">
      <c r="A681" s="127"/>
      <c r="B681" s="8"/>
      <c r="C681" s="8"/>
      <c r="D681" s="8"/>
      <c r="E681" s="8"/>
      <c r="F681" s="8"/>
      <c r="G681" s="8"/>
      <c r="H681" s="8"/>
      <c r="I681" s="12"/>
      <c r="J681" s="136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</row>
    <row r="682" spans="1:85" s="1" customFormat="1" ht="49.7" customHeight="1" x14ac:dyDescent="0.2">
      <c r="A682" s="121" t="s">
        <v>388</v>
      </c>
      <c r="B682" s="40" t="s">
        <v>16</v>
      </c>
      <c r="C682" s="226" t="str">
        <f>VLOOKUP(A682,ORÇAMENTO!B:K,4,FALSE)</f>
        <v>REATERRO MANUAL DE VALA, INCLUSIVE ESPALHAMENTO E COMPACTAÇÃO MANUAL COM SOQUETE</v>
      </c>
      <c r="D682" s="227"/>
      <c r="E682" s="227"/>
      <c r="F682" s="227"/>
      <c r="G682" s="227"/>
      <c r="H682" s="41" t="str">
        <f>VLOOKUP(A682,ORÇAMENTO!B:K,2,FALSE)</f>
        <v>SETOP</v>
      </c>
      <c r="I682" s="41" t="str">
        <f>VLOOKUP(A682,ORÇAMENTO!B:K,5,FALSE)</f>
        <v>m3</v>
      </c>
      <c r="J682" s="122">
        <f>J686</f>
        <v>4.0199999999999996</v>
      </c>
    </row>
    <row r="683" spans="1:85" s="1" customFormat="1" ht="14.25" customHeight="1" x14ac:dyDescent="0.2">
      <c r="A683" s="248"/>
      <c r="B683" s="249"/>
      <c r="C683" s="242"/>
      <c r="D683" s="242" t="s">
        <v>335</v>
      </c>
      <c r="E683" s="242" t="s">
        <v>336</v>
      </c>
      <c r="F683" s="255" t="s">
        <v>337</v>
      </c>
      <c r="G683" s="230"/>
      <c r="H683" s="230"/>
      <c r="I683" s="230"/>
      <c r="J683" s="234" t="s">
        <v>308</v>
      </c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</row>
    <row r="684" spans="1:85" s="1" customFormat="1" ht="14.25" customHeight="1" x14ac:dyDescent="0.2">
      <c r="A684" s="248"/>
      <c r="B684" s="249"/>
      <c r="C684" s="242"/>
      <c r="D684" s="242"/>
      <c r="E684" s="242"/>
      <c r="F684" s="256"/>
      <c r="G684" s="231"/>
      <c r="H684" s="231"/>
      <c r="I684" s="231"/>
      <c r="J684" s="234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</row>
    <row r="685" spans="1:85" s="1" customFormat="1" ht="15" x14ac:dyDescent="0.2">
      <c r="A685" s="243"/>
      <c r="B685" s="244"/>
      <c r="C685" s="9"/>
      <c r="D685" s="4">
        <f>J680</f>
        <v>8.4700000000000006</v>
      </c>
      <c r="E685" s="4">
        <f>J705</f>
        <v>0.23519999999999996</v>
      </c>
      <c r="F685" s="4">
        <v>4.21</v>
      </c>
      <c r="G685" s="3"/>
      <c r="H685" s="3"/>
      <c r="I685" s="3"/>
      <c r="J685" s="123">
        <f>D685-(E685+F685)</f>
        <v>4.0248000000000008</v>
      </c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</row>
    <row r="686" spans="1:85" s="1" customFormat="1" ht="15" x14ac:dyDescent="0.25">
      <c r="A686" s="245" t="s">
        <v>1</v>
      </c>
      <c r="B686" s="246"/>
      <c r="C686" s="246"/>
      <c r="D686" s="246"/>
      <c r="E686" s="246"/>
      <c r="F686" s="246"/>
      <c r="G686" s="246"/>
      <c r="H686" s="246"/>
      <c r="I686" s="247"/>
      <c r="J686" s="125">
        <f>ROUND(SUM(J685:J685),2)</f>
        <v>4.0199999999999996</v>
      </c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</row>
    <row r="687" spans="1:85" s="1" customFormat="1" ht="15" x14ac:dyDescent="0.25">
      <c r="A687" s="127"/>
      <c r="B687" s="8"/>
      <c r="C687" s="8"/>
      <c r="D687" s="8"/>
      <c r="E687" s="8"/>
      <c r="F687" s="8"/>
      <c r="G687" s="8"/>
      <c r="H687" s="8"/>
      <c r="I687" s="12"/>
      <c r="J687" s="136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</row>
    <row r="688" spans="1:85" s="1" customFormat="1" ht="15" x14ac:dyDescent="0.2">
      <c r="A688" s="137" t="s">
        <v>389</v>
      </c>
      <c r="B688" s="252" t="str">
        <f>VLOOKUP(A688,ORÇAMENTO!B:K,2,FALSE)</f>
        <v>FUNDAÇÃO</v>
      </c>
      <c r="C688" s="253"/>
      <c r="D688" s="253"/>
      <c r="E688" s="253"/>
      <c r="F688" s="253"/>
      <c r="G688" s="253"/>
      <c r="H688" s="253"/>
      <c r="I688" s="253"/>
      <c r="J688" s="254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</row>
    <row r="689" spans="1:85" s="1" customFormat="1" ht="15" x14ac:dyDescent="0.25">
      <c r="A689" s="130"/>
      <c r="B689" s="26"/>
      <c r="C689" s="12"/>
      <c r="D689" s="12"/>
      <c r="E689" s="12"/>
      <c r="F689" s="12"/>
      <c r="G689" s="12"/>
      <c r="H689" s="26"/>
      <c r="I689" s="26"/>
      <c r="J689" s="13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</row>
    <row r="690" spans="1:85" s="1" customFormat="1" ht="49.7" customHeight="1" x14ac:dyDescent="0.2">
      <c r="A690" s="121" t="s">
        <v>390</v>
      </c>
      <c r="B690" s="40" t="s">
        <v>16</v>
      </c>
      <c r="C690" s="226" t="str">
        <f>VLOOKUP(A690,ORÇAMENTO!B:K,4,FALSE)</f>
        <v>ESTACA BROCA DE CONCRETO, DIÂMETRO DE 30CM, ESCAVAÇÃO MANUAL COM TRADO CONCHA, SEM ARMADURA</v>
      </c>
      <c r="D690" s="227"/>
      <c r="E690" s="227"/>
      <c r="F690" s="227"/>
      <c r="G690" s="227"/>
      <c r="H690" s="41" t="str">
        <f>VLOOKUP(A690,ORÇAMENTO!B:K,2,FALSE)</f>
        <v>CPU</v>
      </c>
      <c r="I690" s="41" t="str">
        <f>VLOOKUP(A690,ORÇAMENTO!B:K,5,FALSE)</f>
        <v>M</v>
      </c>
      <c r="J690" s="122">
        <f>J694</f>
        <v>39.200000000000003</v>
      </c>
    </row>
    <row r="691" spans="1:85" s="1" customFormat="1" ht="14.25" customHeight="1" x14ac:dyDescent="0.2">
      <c r="A691" s="248"/>
      <c r="B691" s="249"/>
      <c r="C691" s="242"/>
      <c r="D691" s="242" t="s">
        <v>307</v>
      </c>
      <c r="E691" s="230" t="s">
        <v>0</v>
      </c>
      <c r="F691" s="230"/>
      <c r="G691" s="230"/>
      <c r="H691" s="230"/>
      <c r="I691" s="230"/>
      <c r="J691" s="234" t="s">
        <v>309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</row>
    <row r="692" spans="1:85" s="1" customFormat="1" ht="14.25" customHeight="1" x14ac:dyDescent="0.2">
      <c r="A692" s="248"/>
      <c r="B692" s="249"/>
      <c r="C692" s="242"/>
      <c r="D692" s="242"/>
      <c r="E692" s="231"/>
      <c r="F692" s="231"/>
      <c r="G692" s="231"/>
      <c r="H692" s="231"/>
      <c r="I692" s="231"/>
      <c r="J692" s="234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</row>
    <row r="693" spans="1:85" s="1" customFormat="1" ht="15" x14ac:dyDescent="0.2">
      <c r="A693" s="243"/>
      <c r="B693" s="244"/>
      <c r="C693" s="9"/>
      <c r="D693" s="4">
        <v>2.4500000000000002</v>
      </c>
      <c r="E693" s="4">
        <f>16</f>
        <v>16</v>
      </c>
      <c r="F693" s="3"/>
      <c r="G693" s="3"/>
      <c r="H693" s="3"/>
      <c r="I693" s="3"/>
      <c r="J693" s="123">
        <f>PRODUCT(D693:I693)</f>
        <v>39.200000000000003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</row>
    <row r="694" spans="1:85" s="1" customFormat="1" ht="15" x14ac:dyDescent="0.25">
      <c r="A694" s="245" t="s">
        <v>1</v>
      </c>
      <c r="B694" s="246"/>
      <c r="C694" s="246"/>
      <c r="D694" s="246"/>
      <c r="E694" s="246"/>
      <c r="F694" s="246"/>
      <c r="G694" s="246"/>
      <c r="H694" s="246"/>
      <c r="I694" s="247"/>
      <c r="J694" s="125">
        <f>ROUND(SUM(J693:J693),2)</f>
        <v>39.200000000000003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</row>
    <row r="695" spans="1:85" s="1" customFormat="1" ht="15" x14ac:dyDescent="0.25">
      <c r="A695" s="127"/>
      <c r="B695" s="8"/>
      <c r="C695" s="8"/>
      <c r="D695" s="8"/>
      <c r="E695" s="8"/>
      <c r="F695" s="8"/>
      <c r="G695" s="8"/>
      <c r="H695" s="8"/>
      <c r="I695" s="12"/>
      <c r="J695" s="136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</row>
    <row r="696" spans="1:85" s="1" customFormat="1" ht="49.7" customHeight="1" x14ac:dyDescent="0.2">
      <c r="A696" s="121" t="s">
        <v>391</v>
      </c>
      <c r="B696" s="40" t="s">
        <v>16</v>
      </c>
      <c r="C696" s="226" t="str">
        <f>VLOOKUP(A696,ORÇAMENTO!B:K,4,FALSE)</f>
        <v>APILOAMENTO MANUAL EM FUNDO DE VALA COM SOQUETE, EXCLUSIVE ESCAVAÇÃO</v>
      </c>
      <c r="D696" s="227"/>
      <c r="E696" s="227"/>
      <c r="F696" s="227"/>
      <c r="G696" s="227"/>
      <c r="H696" s="41" t="str">
        <f>VLOOKUP(A696,ORÇAMENTO!B:K,2,FALSE)</f>
        <v>SETOP</v>
      </c>
      <c r="I696" s="41" t="str">
        <f>VLOOKUP(A696,ORÇAMENTO!B:K,5,FALSE)</f>
        <v>m2</v>
      </c>
      <c r="J696" s="122">
        <f>J700</f>
        <v>7.84</v>
      </c>
    </row>
    <row r="697" spans="1:85" s="1" customFormat="1" ht="14.25" customHeight="1" x14ac:dyDescent="0.2">
      <c r="A697" s="248"/>
      <c r="B697" s="249"/>
      <c r="C697" s="242"/>
      <c r="D697" s="242" t="s">
        <v>304</v>
      </c>
      <c r="E697" s="242" t="s">
        <v>305</v>
      </c>
      <c r="F697" s="230" t="s">
        <v>0</v>
      </c>
      <c r="G697" s="230"/>
      <c r="H697" s="230"/>
      <c r="I697" s="230"/>
      <c r="J697" s="234" t="s">
        <v>310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</row>
    <row r="698" spans="1:85" s="1" customFormat="1" ht="14.25" customHeight="1" x14ac:dyDescent="0.2">
      <c r="A698" s="248"/>
      <c r="B698" s="249"/>
      <c r="C698" s="242"/>
      <c r="D698" s="242"/>
      <c r="E698" s="242"/>
      <c r="F698" s="231"/>
      <c r="G698" s="231"/>
      <c r="H698" s="231"/>
      <c r="I698" s="231"/>
      <c r="J698" s="234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</row>
    <row r="699" spans="1:85" s="1" customFormat="1" ht="15" x14ac:dyDescent="0.2">
      <c r="A699" s="243" t="s">
        <v>319</v>
      </c>
      <c r="B699" s="244"/>
      <c r="C699" s="9" t="s">
        <v>303</v>
      </c>
      <c r="D699" s="4">
        <f>0.6+0.1</f>
        <v>0.7</v>
      </c>
      <c r="E699" s="4">
        <f>0.6+0.1</f>
        <v>0.7</v>
      </c>
      <c r="F699" s="4">
        <f>16</f>
        <v>16</v>
      </c>
      <c r="G699" s="3"/>
      <c r="H699" s="3"/>
      <c r="I699" s="3"/>
      <c r="J699" s="123">
        <f>PRODUCT(D699:I699)</f>
        <v>7.839999999999999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</row>
    <row r="700" spans="1:85" s="1" customFormat="1" ht="15" x14ac:dyDescent="0.25">
      <c r="A700" s="245" t="s">
        <v>1</v>
      </c>
      <c r="B700" s="246"/>
      <c r="C700" s="246"/>
      <c r="D700" s="246"/>
      <c r="E700" s="246"/>
      <c r="F700" s="246"/>
      <c r="G700" s="246"/>
      <c r="H700" s="246"/>
      <c r="I700" s="247"/>
      <c r="J700" s="125">
        <f>ROUND(SUM(J699:J699),2)</f>
        <v>7.84</v>
      </c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</row>
    <row r="701" spans="1:85" s="1" customFormat="1" ht="15" x14ac:dyDescent="0.25">
      <c r="A701" s="127"/>
      <c r="B701" s="8"/>
      <c r="C701" s="8"/>
      <c r="D701" s="8"/>
      <c r="E701" s="8"/>
      <c r="F701" s="8"/>
      <c r="G701" s="8"/>
      <c r="H701" s="8"/>
      <c r="I701" s="12"/>
      <c r="J701" s="136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</row>
    <row r="702" spans="1:85" s="1" customFormat="1" ht="49.7" customHeight="1" x14ac:dyDescent="0.2">
      <c r="A702" s="121" t="s">
        <v>392</v>
      </c>
      <c r="B702" s="40" t="s">
        <v>16</v>
      </c>
      <c r="C702" s="226" t="str">
        <f>VLOOKUP(A702,ORÇAMENTO!B:K,4,FALSE)</f>
        <v>CONCRETO MAGRO, TRAÇO 1:3:6, PREPARADO EM OBRA COM BETONEIRA, SEM FUNÇÃO ESTRUTURAL</v>
      </c>
      <c r="D702" s="227"/>
      <c r="E702" s="227"/>
      <c r="F702" s="227"/>
      <c r="G702" s="227"/>
      <c r="H702" s="41" t="str">
        <f>VLOOKUP(A702,ORÇAMENTO!B:K,2,FALSE)</f>
        <v>SETOP</v>
      </c>
      <c r="I702" s="41" t="str">
        <f>VLOOKUP(A702,ORÇAMENTO!B:K,5,FALSE)</f>
        <v>m3</v>
      </c>
      <c r="J702" s="122">
        <f>J710</f>
        <v>0.78</v>
      </c>
    </row>
    <row r="703" spans="1:85" s="1" customFormat="1" ht="14.25" customHeight="1" x14ac:dyDescent="0.2">
      <c r="A703" s="248"/>
      <c r="B703" s="249"/>
      <c r="C703" s="242"/>
      <c r="D703" s="242" t="s">
        <v>43</v>
      </c>
      <c r="E703" s="242" t="s">
        <v>272</v>
      </c>
      <c r="F703" s="230" t="s">
        <v>2</v>
      </c>
      <c r="G703" s="230" t="s">
        <v>0</v>
      </c>
      <c r="H703" s="230"/>
      <c r="I703" s="230"/>
      <c r="J703" s="234" t="s">
        <v>308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</row>
    <row r="704" spans="1:85" s="1" customFormat="1" ht="14.25" customHeight="1" x14ac:dyDescent="0.2">
      <c r="A704" s="248"/>
      <c r="B704" s="249"/>
      <c r="C704" s="242"/>
      <c r="D704" s="242"/>
      <c r="E704" s="242"/>
      <c r="F704" s="231"/>
      <c r="G704" s="231"/>
      <c r="H704" s="231"/>
      <c r="I704" s="231"/>
      <c r="J704" s="234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</row>
    <row r="705" spans="1:85" s="1" customFormat="1" ht="15" x14ac:dyDescent="0.2">
      <c r="A705" s="243" t="s">
        <v>319</v>
      </c>
      <c r="B705" s="244"/>
      <c r="C705" s="9" t="s">
        <v>303</v>
      </c>
      <c r="D705" s="4">
        <f>0.6+0.1</f>
        <v>0.7</v>
      </c>
      <c r="E705" s="4">
        <f>0.6+0.1</f>
        <v>0.7</v>
      </c>
      <c r="F705" s="4">
        <v>0.03</v>
      </c>
      <c r="G705" s="4">
        <f>16</f>
        <v>16</v>
      </c>
      <c r="H705" s="3"/>
      <c r="I705" s="3"/>
      <c r="J705" s="123">
        <f>PRODUCT(D705:I705)</f>
        <v>0.23519999999999996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</row>
    <row r="706" spans="1:85" s="1" customFormat="1" ht="15" x14ac:dyDescent="0.2">
      <c r="A706" s="243" t="s">
        <v>311</v>
      </c>
      <c r="B706" s="244"/>
      <c r="C706" s="9"/>
      <c r="D706" s="4">
        <v>0.38</v>
      </c>
      <c r="E706" s="4">
        <v>1.48</v>
      </c>
      <c r="F706" s="4">
        <v>0.03</v>
      </c>
      <c r="G706" s="4">
        <v>8</v>
      </c>
      <c r="H706" s="3"/>
      <c r="I706" s="3"/>
      <c r="J706" s="123">
        <f t="shared" ref="J706:J707" si="56">PRODUCT(D706:I706)</f>
        <v>0.13497599999999998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</row>
    <row r="707" spans="1:85" s="1" customFormat="1" ht="15" x14ac:dyDescent="0.2">
      <c r="A707" s="250" t="s">
        <v>312</v>
      </c>
      <c r="B707" s="251"/>
      <c r="C707" s="9"/>
      <c r="D707" s="4">
        <v>0.19</v>
      </c>
      <c r="E707" s="4">
        <v>5.78</v>
      </c>
      <c r="F707" s="4">
        <v>0.03</v>
      </c>
      <c r="G707" s="4">
        <v>4</v>
      </c>
      <c r="H707" s="3"/>
      <c r="I707" s="3"/>
      <c r="J707" s="123">
        <f t="shared" si="56"/>
        <v>0.13178400000000001</v>
      </c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</row>
    <row r="708" spans="1:85" s="1" customFormat="1" ht="15" x14ac:dyDescent="0.2">
      <c r="A708" s="250" t="s">
        <v>313</v>
      </c>
      <c r="B708" s="251"/>
      <c r="C708" s="9"/>
      <c r="D708" s="4">
        <v>0.19</v>
      </c>
      <c r="E708" s="4">
        <v>5.82</v>
      </c>
      <c r="F708" s="4">
        <v>0.03</v>
      </c>
      <c r="G708" s="4">
        <v>4</v>
      </c>
      <c r="H708" s="3"/>
      <c r="I708" s="3"/>
      <c r="J708" s="123">
        <f>PRODUCT(D708:I708)</f>
        <v>0.13269600000000001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</row>
    <row r="709" spans="1:85" s="1" customFormat="1" ht="15" x14ac:dyDescent="0.2">
      <c r="A709" s="250" t="s">
        <v>314</v>
      </c>
      <c r="B709" s="251"/>
      <c r="C709" s="9"/>
      <c r="D709" s="4">
        <v>0.19</v>
      </c>
      <c r="E709" s="4">
        <v>6.17</v>
      </c>
      <c r="F709" s="4">
        <v>0.03</v>
      </c>
      <c r="G709" s="4">
        <v>4</v>
      </c>
      <c r="H709" s="3"/>
      <c r="I709" s="3"/>
      <c r="J709" s="123">
        <f t="shared" ref="J709" si="57">PRODUCT(D709:I709)</f>
        <v>0.140676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</row>
    <row r="710" spans="1:85" s="1" customFormat="1" ht="15" x14ac:dyDescent="0.25">
      <c r="A710" s="245" t="s">
        <v>1</v>
      </c>
      <c r="B710" s="246"/>
      <c r="C710" s="246"/>
      <c r="D710" s="246"/>
      <c r="E710" s="246"/>
      <c r="F710" s="246"/>
      <c r="G710" s="246"/>
      <c r="H710" s="246"/>
      <c r="I710" s="247"/>
      <c r="J710" s="125">
        <f>ROUND(SUM(J705:J709),2)</f>
        <v>0.78</v>
      </c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</row>
    <row r="711" spans="1:85" s="1" customFormat="1" ht="15" x14ac:dyDescent="0.25">
      <c r="A711" s="127"/>
      <c r="B711" s="8"/>
      <c r="C711" s="8"/>
      <c r="D711" s="8"/>
      <c r="E711" s="8"/>
      <c r="F711" s="8"/>
      <c r="G711" s="8"/>
      <c r="H711" s="8"/>
      <c r="I711" s="12"/>
      <c r="J711" s="136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</row>
    <row r="712" spans="1:85" s="1" customFormat="1" ht="49.7" customHeight="1" x14ac:dyDescent="0.2">
      <c r="A712" s="121" t="s">
        <v>393</v>
      </c>
      <c r="B712" s="40" t="s">
        <v>16</v>
      </c>
      <c r="C712" s="226" t="str">
        <f>VLOOKUP(A712,ORÇAMENTO!B:K,4,FALSE)</f>
        <v>FABRICAÇÃO, MONTAGEM E DESMONTAGEM DE FÔRMA PARA BLOCO DE COROAMENTO, EM CHAPA DE MADEIRA COMPENSADA RESINADA, E=17 MM, 4 UTILIZAÇÕES. AF_01/2024</v>
      </c>
      <c r="D712" s="227"/>
      <c r="E712" s="227"/>
      <c r="F712" s="227"/>
      <c r="G712" s="227"/>
      <c r="H712" s="41" t="str">
        <f>VLOOKUP(A712,ORÇAMENTO!B:K,2,FALSE)</f>
        <v>SINAPI</v>
      </c>
      <c r="I712" s="41" t="str">
        <f>VLOOKUP(A712,ORÇAMENTO!B:K,5,FALSE)</f>
        <v>M2</v>
      </c>
      <c r="J712" s="122">
        <f>J716</f>
        <v>21.12</v>
      </c>
    </row>
    <row r="713" spans="1:85" s="1" customFormat="1" ht="14.25" customHeight="1" x14ac:dyDescent="0.2">
      <c r="A713" s="248"/>
      <c r="B713" s="249"/>
      <c r="C713" s="242"/>
      <c r="D713" s="242" t="s">
        <v>43</v>
      </c>
      <c r="E713" s="242" t="s">
        <v>44</v>
      </c>
      <c r="F713" s="230" t="s">
        <v>0</v>
      </c>
      <c r="G713" s="230"/>
      <c r="H713" s="230"/>
      <c r="I713" s="230"/>
      <c r="J713" s="234" t="s">
        <v>310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</row>
    <row r="714" spans="1:85" s="1" customFormat="1" ht="14.25" customHeight="1" x14ac:dyDescent="0.2">
      <c r="A714" s="248"/>
      <c r="B714" s="249"/>
      <c r="C714" s="242"/>
      <c r="D714" s="242"/>
      <c r="E714" s="242"/>
      <c r="F714" s="231"/>
      <c r="G714" s="231"/>
      <c r="H714" s="231"/>
      <c r="I714" s="231"/>
      <c r="J714" s="234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</row>
    <row r="715" spans="1:85" s="1" customFormat="1" ht="15" x14ac:dyDescent="0.2">
      <c r="A715" s="243" t="s">
        <v>319</v>
      </c>
      <c r="B715" s="244"/>
      <c r="C715" s="9" t="s">
        <v>303</v>
      </c>
      <c r="D715" s="4">
        <v>0.6</v>
      </c>
      <c r="E715" s="4">
        <v>0.55000000000000004</v>
      </c>
      <c r="F715" s="4">
        <f>16*4</f>
        <v>64</v>
      </c>
      <c r="G715" s="3"/>
      <c r="H715" s="3"/>
      <c r="I715" s="3"/>
      <c r="J715" s="123">
        <f>PRODUCT(D715:I715)</f>
        <v>21.12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</row>
    <row r="716" spans="1:85" s="1" customFormat="1" ht="15" x14ac:dyDescent="0.25">
      <c r="A716" s="245" t="s">
        <v>1</v>
      </c>
      <c r="B716" s="246"/>
      <c r="C716" s="246"/>
      <c r="D716" s="246"/>
      <c r="E716" s="246"/>
      <c r="F716" s="246"/>
      <c r="G716" s="246"/>
      <c r="H716" s="246"/>
      <c r="I716" s="247"/>
      <c r="J716" s="125">
        <f>ROUND(SUM(J715:J715),2)</f>
        <v>21.12</v>
      </c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</row>
    <row r="717" spans="1:85" s="1" customFormat="1" ht="15" x14ac:dyDescent="0.25">
      <c r="A717" s="127"/>
      <c r="B717" s="8"/>
      <c r="C717" s="8"/>
      <c r="D717" s="8"/>
      <c r="E717" s="8"/>
      <c r="F717" s="8"/>
      <c r="G717" s="8"/>
      <c r="H717" s="8"/>
      <c r="I717" s="12"/>
      <c r="J717" s="136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</row>
    <row r="718" spans="1:85" s="1" customFormat="1" ht="49.7" customHeight="1" x14ac:dyDescent="0.2">
      <c r="A718" s="121" t="s">
        <v>394</v>
      </c>
      <c r="B718" s="40" t="s">
        <v>16</v>
      </c>
      <c r="C718" s="226" t="str">
        <f>VLOOKUP(A718,ORÇAMENTO!B:K,4,FALSE)</f>
        <v>FABRICAÇÃO, MONTAGEM E DESMONTAGEM DE FÔRMA PARA VIGA BALDRAME, EM CHAPA DE MADEIRA COMPENSADA RESINADA, E=17 MM, 4 UTILIZAÇÕES. AF_01/2024</v>
      </c>
      <c r="D718" s="227"/>
      <c r="E718" s="227"/>
      <c r="F718" s="227"/>
      <c r="G718" s="227"/>
      <c r="H718" s="41" t="str">
        <f>VLOOKUP(A718,ORÇAMENTO!B:K,2,FALSE)</f>
        <v>SINAPI</v>
      </c>
      <c r="I718" s="41" t="str">
        <f>VLOOKUP(A718,ORÇAMENTO!B:K,5,FALSE)</f>
        <v>M2</v>
      </c>
      <c r="J718" s="122">
        <f>J725</f>
        <v>49.97</v>
      </c>
    </row>
    <row r="719" spans="1:85" s="1" customFormat="1" ht="14.25" customHeight="1" x14ac:dyDescent="0.2">
      <c r="A719" s="248"/>
      <c r="B719" s="249"/>
      <c r="C719" s="242"/>
      <c r="D719" s="242" t="s">
        <v>43</v>
      </c>
      <c r="E719" s="242" t="s">
        <v>44</v>
      </c>
      <c r="F719" s="230" t="s">
        <v>0</v>
      </c>
      <c r="G719" s="230"/>
      <c r="H719" s="230"/>
      <c r="I719" s="230"/>
      <c r="J719" s="234" t="s">
        <v>310</v>
      </c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</row>
    <row r="720" spans="1:85" s="1" customFormat="1" ht="14.25" customHeight="1" x14ac:dyDescent="0.2">
      <c r="A720" s="248"/>
      <c r="B720" s="249"/>
      <c r="C720" s="242"/>
      <c r="D720" s="242"/>
      <c r="E720" s="242"/>
      <c r="F720" s="231"/>
      <c r="G720" s="231"/>
      <c r="H720" s="231"/>
      <c r="I720" s="231"/>
      <c r="J720" s="234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</row>
    <row r="721" spans="1:85" s="1" customFormat="1" ht="15" x14ac:dyDescent="0.2">
      <c r="A721" s="243" t="s">
        <v>311</v>
      </c>
      <c r="B721" s="244"/>
      <c r="C721" s="9"/>
      <c r="D721" s="4">
        <f>1.48+0.38+1.48+0.38</f>
        <v>3.7199999999999998</v>
      </c>
      <c r="E721" s="4">
        <v>0.2</v>
      </c>
      <c r="F721" s="4">
        <v>8</v>
      </c>
      <c r="G721" s="3"/>
      <c r="H721" s="3"/>
      <c r="I721" s="3"/>
      <c r="J721" s="123">
        <f>PRODUCT(D721:I721)</f>
        <v>5.952</v>
      </c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</row>
    <row r="722" spans="1:85" s="1" customFormat="1" ht="15" x14ac:dyDescent="0.2">
      <c r="A722" s="243" t="s">
        <v>312</v>
      </c>
      <c r="B722" s="244"/>
      <c r="C722" s="9"/>
      <c r="D722" s="4">
        <f>5.78+0.19+5.78+0.19</f>
        <v>11.94</v>
      </c>
      <c r="E722" s="4">
        <v>0.3</v>
      </c>
      <c r="F722" s="4">
        <v>4</v>
      </c>
      <c r="G722" s="3"/>
      <c r="H722" s="3"/>
      <c r="I722" s="3"/>
      <c r="J722" s="123">
        <f t="shared" ref="J722:J724" si="58">PRODUCT(D722:I722)</f>
        <v>14.327999999999999</v>
      </c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</row>
    <row r="723" spans="1:85" s="1" customFormat="1" ht="15" x14ac:dyDescent="0.2">
      <c r="A723" s="243" t="s">
        <v>313</v>
      </c>
      <c r="B723" s="244"/>
      <c r="C723" s="9"/>
      <c r="D723" s="4">
        <f>5.82+0.19+5.82+0.19</f>
        <v>12.020000000000001</v>
      </c>
      <c r="E723" s="4">
        <v>0.3</v>
      </c>
      <c r="F723" s="4">
        <v>4</v>
      </c>
      <c r="G723" s="3"/>
      <c r="H723" s="3"/>
      <c r="I723" s="3"/>
      <c r="J723" s="123">
        <f t="shared" si="58"/>
        <v>14.424000000000001</v>
      </c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</row>
    <row r="724" spans="1:85" s="1" customFormat="1" ht="15" x14ac:dyDescent="0.2">
      <c r="A724" s="243" t="s">
        <v>314</v>
      </c>
      <c r="B724" s="244"/>
      <c r="C724" s="9"/>
      <c r="D724" s="4">
        <f>6.17+0.19+6.17+0.19</f>
        <v>12.72</v>
      </c>
      <c r="E724" s="4">
        <v>0.3</v>
      </c>
      <c r="F724" s="4">
        <v>4</v>
      </c>
      <c r="G724" s="3"/>
      <c r="H724" s="3"/>
      <c r="I724" s="3"/>
      <c r="J724" s="123">
        <f t="shared" si="58"/>
        <v>15.263999999999999</v>
      </c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</row>
    <row r="725" spans="1:85" s="1" customFormat="1" ht="15" x14ac:dyDescent="0.25">
      <c r="A725" s="245" t="s">
        <v>1</v>
      </c>
      <c r="B725" s="246"/>
      <c r="C725" s="246"/>
      <c r="D725" s="246"/>
      <c r="E725" s="246"/>
      <c r="F725" s="246"/>
      <c r="G725" s="246"/>
      <c r="H725" s="246"/>
      <c r="I725" s="247"/>
      <c r="J725" s="125">
        <f>ROUND(SUM(J721:J724),2)</f>
        <v>49.97</v>
      </c>
      <c r="K725" s="2"/>
      <c r="L725" s="2"/>
      <c r="M725" s="5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</row>
    <row r="726" spans="1:85" s="1" customFormat="1" ht="15" x14ac:dyDescent="0.25">
      <c r="A726" s="127"/>
      <c r="B726" s="8"/>
      <c r="C726" s="8"/>
      <c r="D726" s="8"/>
      <c r="E726" s="8"/>
      <c r="F726" s="8"/>
      <c r="G726" s="8"/>
      <c r="H726" s="8"/>
      <c r="I726" s="12"/>
      <c r="J726" s="136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</row>
    <row r="727" spans="1:85" s="1" customFormat="1" ht="49.7" customHeight="1" x14ac:dyDescent="0.2">
      <c r="A727" s="121" t="s">
        <v>395</v>
      </c>
      <c r="B727" s="40" t="s">
        <v>16</v>
      </c>
      <c r="C727" s="226" t="str">
        <f>VLOOKUP(A727,ORÇAMENTO!B:K,4,FALSE)</f>
        <v>FÔRMA E DESFORMA PARA PILAR COM CHAPA DE COMPENSADO PLASTIFICADO, ESP. 14MM, REAPROVEITAMENTO (5X), EXCLUSIVE ESCORAMENTO</v>
      </c>
      <c r="D727" s="227"/>
      <c r="E727" s="227"/>
      <c r="F727" s="227"/>
      <c r="G727" s="227"/>
      <c r="H727" s="41" t="str">
        <f>VLOOKUP(A727,ORÇAMENTO!B:K,2,FALSE)</f>
        <v>SETOP</v>
      </c>
      <c r="I727" s="41" t="str">
        <f>VLOOKUP(A727,ORÇAMENTO!B:K,5,FALSE)</f>
        <v>m2</v>
      </c>
      <c r="J727" s="122">
        <f>J731</f>
        <v>16.420000000000002</v>
      </c>
    </row>
    <row r="728" spans="1:85" s="1" customFormat="1" ht="14.25" customHeight="1" x14ac:dyDescent="0.2">
      <c r="A728" s="248"/>
      <c r="B728" s="249"/>
      <c r="C728" s="242"/>
      <c r="D728" s="242" t="s">
        <v>43</v>
      </c>
      <c r="E728" s="242" t="s">
        <v>44</v>
      </c>
      <c r="F728" s="230" t="s">
        <v>0</v>
      </c>
      <c r="G728" s="230"/>
      <c r="H728" s="230"/>
      <c r="I728" s="230"/>
      <c r="J728" s="234" t="s">
        <v>310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</row>
    <row r="729" spans="1:85" s="1" customFormat="1" ht="14.25" customHeight="1" x14ac:dyDescent="0.2">
      <c r="A729" s="248"/>
      <c r="B729" s="249"/>
      <c r="C729" s="242"/>
      <c r="D729" s="242"/>
      <c r="E729" s="242"/>
      <c r="F729" s="231"/>
      <c r="G729" s="231"/>
      <c r="H729" s="231"/>
      <c r="I729" s="231"/>
      <c r="J729" s="234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</row>
    <row r="730" spans="1:85" s="1" customFormat="1" ht="15" x14ac:dyDescent="0.2">
      <c r="A730" s="243" t="s">
        <v>315</v>
      </c>
      <c r="B730" s="244"/>
      <c r="C730" s="9"/>
      <c r="D730" s="4">
        <f>0.19+0.38+0.19+0.38</f>
        <v>1.1400000000000001</v>
      </c>
      <c r="E730" s="4">
        <v>0.9</v>
      </c>
      <c r="F730" s="4">
        <v>16</v>
      </c>
      <c r="G730" s="3"/>
      <c r="H730" s="3"/>
      <c r="I730" s="3"/>
      <c r="J730" s="123">
        <f>PRODUCT(D730:I730)</f>
        <v>16.416000000000004</v>
      </c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</row>
    <row r="731" spans="1:85" s="1" customFormat="1" ht="15" x14ac:dyDescent="0.25">
      <c r="A731" s="245" t="s">
        <v>1</v>
      </c>
      <c r="B731" s="246"/>
      <c r="C731" s="246"/>
      <c r="D731" s="246"/>
      <c r="E731" s="246"/>
      <c r="F731" s="246"/>
      <c r="G731" s="246"/>
      <c r="H731" s="246"/>
      <c r="I731" s="247"/>
      <c r="J731" s="125">
        <f>ROUND(SUM(J730:J730),2)</f>
        <v>16.420000000000002</v>
      </c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</row>
    <row r="732" spans="1:85" s="1" customFormat="1" ht="15" x14ac:dyDescent="0.25">
      <c r="A732" s="127"/>
      <c r="B732" s="8"/>
      <c r="C732" s="8"/>
      <c r="D732" s="8"/>
      <c r="E732" s="8"/>
      <c r="F732" s="8"/>
      <c r="G732" s="8"/>
      <c r="H732" s="8"/>
      <c r="I732" s="12"/>
      <c r="J732" s="13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</row>
    <row r="733" spans="1:85" s="1" customFormat="1" ht="49.7" customHeight="1" x14ac:dyDescent="0.2">
      <c r="A733" s="121" t="s">
        <v>396</v>
      </c>
      <c r="B733" s="40" t="s">
        <v>16</v>
      </c>
      <c r="C733" s="226" t="str">
        <f>VLOOKUP(A733,ORÇAMENTO!B:K,4,FALSE)</f>
        <v>CORTE E DOBRA DE AÇO CA-60, DIÂMETRO DE 5,0 MM. AF_06/2022</v>
      </c>
      <c r="D733" s="227"/>
      <c r="E733" s="227"/>
      <c r="F733" s="227"/>
      <c r="G733" s="227"/>
      <c r="H733" s="41" t="str">
        <f>VLOOKUP(A733,ORÇAMENTO!B:K,2,FALSE)</f>
        <v>SINAPI</v>
      </c>
      <c r="I733" s="41" t="str">
        <f>VLOOKUP(A733,ORÇAMENTO!B:K,5,FALSE)</f>
        <v>KG</v>
      </c>
      <c r="J733" s="122">
        <f>J737</f>
        <v>188.6</v>
      </c>
    </row>
    <row r="734" spans="1:85" s="1" customFormat="1" ht="14.25" customHeight="1" x14ac:dyDescent="0.2">
      <c r="A734" s="248"/>
      <c r="B734" s="249"/>
      <c r="C734" s="242"/>
      <c r="D734" s="242" t="s">
        <v>317</v>
      </c>
      <c r="E734" s="230" t="s">
        <v>0</v>
      </c>
      <c r="F734" s="230"/>
      <c r="G734" s="230"/>
      <c r="H734" s="230"/>
      <c r="I734" s="230"/>
      <c r="J734" s="234" t="s">
        <v>318</v>
      </c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</row>
    <row r="735" spans="1:85" s="1" customFormat="1" ht="14.25" customHeight="1" x14ac:dyDescent="0.2">
      <c r="A735" s="248"/>
      <c r="B735" s="249"/>
      <c r="C735" s="242"/>
      <c r="D735" s="242"/>
      <c r="E735" s="231"/>
      <c r="F735" s="231"/>
      <c r="G735" s="231"/>
      <c r="H735" s="231"/>
      <c r="I735" s="231"/>
      <c r="J735" s="234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</row>
    <row r="736" spans="1:85" s="1" customFormat="1" ht="15" x14ac:dyDescent="0.2">
      <c r="A736" s="243"/>
      <c r="B736" s="244"/>
      <c r="C736" s="9" t="s">
        <v>316</v>
      </c>
      <c r="D736" s="4">
        <v>94.3</v>
      </c>
      <c r="E736" s="4">
        <v>2</v>
      </c>
      <c r="F736" s="3"/>
      <c r="G736" s="3"/>
      <c r="H736" s="3"/>
      <c r="I736" s="3"/>
      <c r="J736" s="123">
        <f>PRODUCT(D736:I736)</f>
        <v>188.6</v>
      </c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</row>
    <row r="737" spans="1:85" s="1" customFormat="1" ht="15" x14ac:dyDescent="0.25">
      <c r="A737" s="245" t="s">
        <v>1</v>
      </c>
      <c r="B737" s="246"/>
      <c r="C737" s="246"/>
      <c r="D737" s="246"/>
      <c r="E737" s="246"/>
      <c r="F737" s="246"/>
      <c r="G737" s="246"/>
      <c r="H737" s="246"/>
      <c r="I737" s="247"/>
      <c r="J737" s="125">
        <f>ROUND(SUM(J736:J736),2)</f>
        <v>188.6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</row>
    <row r="738" spans="1:85" s="1" customFormat="1" ht="15" x14ac:dyDescent="0.25">
      <c r="A738" s="127"/>
      <c r="B738" s="8"/>
      <c r="C738" s="8"/>
      <c r="D738" s="8"/>
      <c r="E738" s="8"/>
      <c r="F738" s="8"/>
      <c r="G738" s="8"/>
      <c r="H738" s="8"/>
      <c r="I738" s="12"/>
      <c r="J738" s="13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</row>
    <row r="739" spans="1:85" s="1" customFormat="1" ht="49.7" customHeight="1" x14ac:dyDescent="0.2">
      <c r="A739" s="121" t="s">
        <v>397</v>
      </c>
      <c r="B739" s="40" t="s">
        <v>16</v>
      </c>
      <c r="C739" s="226" t="str">
        <f>VLOOKUP(A739,ORÇAMENTO!B:K,4,FALSE)</f>
        <v>CORTE E DOBRA DE AÇO CA-50, DIÂMETRO DE 6,3 MM. AF_06/2022</v>
      </c>
      <c r="D739" s="227"/>
      <c r="E739" s="227"/>
      <c r="F739" s="227"/>
      <c r="G739" s="227"/>
      <c r="H739" s="41" t="str">
        <f>VLOOKUP(A739,ORÇAMENTO!B:K,2,FALSE)</f>
        <v>SINAPI</v>
      </c>
      <c r="I739" s="41" t="str">
        <f>VLOOKUP(A739,ORÇAMENTO!B:K,5,FALSE)</f>
        <v>KG</v>
      </c>
      <c r="J739" s="122">
        <f>J743</f>
        <v>173.6</v>
      </c>
    </row>
    <row r="740" spans="1:85" s="1" customFormat="1" ht="14.25" customHeight="1" x14ac:dyDescent="0.2">
      <c r="A740" s="248"/>
      <c r="B740" s="249"/>
      <c r="C740" s="242"/>
      <c r="D740" s="242" t="s">
        <v>317</v>
      </c>
      <c r="E740" s="230" t="s">
        <v>0</v>
      </c>
      <c r="F740" s="230"/>
      <c r="G740" s="230"/>
      <c r="H740" s="230"/>
      <c r="I740" s="230"/>
      <c r="J740" s="234" t="s">
        <v>318</v>
      </c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</row>
    <row r="741" spans="1:85" s="1" customFormat="1" ht="14.25" customHeight="1" x14ac:dyDescent="0.2">
      <c r="A741" s="248"/>
      <c r="B741" s="249"/>
      <c r="C741" s="242"/>
      <c r="D741" s="242"/>
      <c r="E741" s="231"/>
      <c r="F741" s="231"/>
      <c r="G741" s="231"/>
      <c r="H741" s="231"/>
      <c r="I741" s="231"/>
      <c r="J741" s="234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</row>
    <row r="742" spans="1:85" s="1" customFormat="1" ht="15" x14ac:dyDescent="0.2">
      <c r="A742" s="243"/>
      <c r="B742" s="244"/>
      <c r="C742" s="9" t="s">
        <v>316</v>
      </c>
      <c r="D742" s="4">
        <v>86.8</v>
      </c>
      <c r="E742" s="4">
        <v>2</v>
      </c>
      <c r="F742" s="3"/>
      <c r="G742" s="3"/>
      <c r="H742" s="3"/>
      <c r="I742" s="3"/>
      <c r="J742" s="123">
        <f>PRODUCT(D742:I742)</f>
        <v>173.6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</row>
    <row r="743" spans="1:85" s="1" customFormat="1" ht="15" x14ac:dyDescent="0.25">
      <c r="A743" s="245" t="s">
        <v>1</v>
      </c>
      <c r="B743" s="246"/>
      <c r="C743" s="246"/>
      <c r="D743" s="246"/>
      <c r="E743" s="246"/>
      <c r="F743" s="246"/>
      <c r="G743" s="246"/>
      <c r="H743" s="246"/>
      <c r="I743" s="247"/>
      <c r="J743" s="125">
        <f>ROUND(SUM(J742:J742),2)</f>
        <v>173.6</v>
      </c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</row>
    <row r="744" spans="1:85" s="1" customFormat="1" ht="15" x14ac:dyDescent="0.25">
      <c r="A744" s="127"/>
      <c r="B744" s="8"/>
      <c r="C744" s="8"/>
      <c r="D744" s="8"/>
      <c r="E744" s="8"/>
      <c r="F744" s="8"/>
      <c r="G744" s="8"/>
      <c r="H744" s="8"/>
      <c r="I744" s="12"/>
      <c r="J744" s="13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</row>
    <row r="745" spans="1:85" s="1" customFormat="1" ht="49.7" customHeight="1" x14ac:dyDescent="0.2">
      <c r="A745" s="121" t="s">
        <v>398</v>
      </c>
      <c r="B745" s="40" t="s">
        <v>16</v>
      </c>
      <c r="C745" s="226" t="str">
        <f>VLOOKUP(A745,ORÇAMENTO!B:K,4,FALSE)</f>
        <v>CORTE E DOBRA DE AÇO CA-50, DIÂMETRO DE 8,0 MM. AF_06/2022</v>
      </c>
      <c r="D745" s="227"/>
      <c r="E745" s="227"/>
      <c r="F745" s="227"/>
      <c r="G745" s="227"/>
      <c r="H745" s="41" t="str">
        <f>VLOOKUP(A745,ORÇAMENTO!B:K,2,FALSE)</f>
        <v>SINAPI</v>
      </c>
      <c r="I745" s="41" t="str">
        <f>VLOOKUP(A745,ORÇAMENTO!B:K,5,FALSE)</f>
        <v>KG</v>
      </c>
      <c r="J745" s="122">
        <f>J749</f>
        <v>19.399999999999999</v>
      </c>
    </row>
    <row r="746" spans="1:85" s="1" customFormat="1" ht="14.25" customHeight="1" x14ac:dyDescent="0.2">
      <c r="A746" s="248"/>
      <c r="B746" s="249"/>
      <c r="C746" s="242"/>
      <c r="D746" s="242" t="s">
        <v>317</v>
      </c>
      <c r="E746" s="230" t="s">
        <v>0</v>
      </c>
      <c r="F746" s="230"/>
      <c r="G746" s="230"/>
      <c r="H746" s="230"/>
      <c r="I746" s="230"/>
      <c r="J746" s="234" t="s">
        <v>318</v>
      </c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</row>
    <row r="747" spans="1:85" s="1" customFormat="1" ht="14.25" customHeight="1" x14ac:dyDescent="0.2">
      <c r="A747" s="248"/>
      <c r="B747" s="249"/>
      <c r="C747" s="242"/>
      <c r="D747" s="242"/>
      <c r="E747" s="231"/>
      <c r="F747" s="231"/>
      <c r="G747" s="231"/>
      <c r="H747" s="231"/>
      <c r="I747" s="231"/>
      <c r="J747" s="234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</row>
    <row r="748" spans="1:85" s="1" customFormat="1" ht="15" x14ac:dyDescent="0.2">
      <c r="A748" s="243"/>
      <c r="B748" s="244"/>
      <c r="C748" s="9" t="s">
        <v>316</v>
      </c>
      <c r="D748" s="4">
        <v>9.6999999999999993</v>
      </c>
      <c r="E748" s="4">
        <v>2</v>
      </c>
      <c r="F748" s="3"/>
      <c r="G748" s="3"/>
      <c r="H748" s="3"/>
      <c r="I748" s="3"/>
      <c r="J748" s="123">
        <f>PRODUCT(D748:I748)</f>
        <v>19.399999999999999</v>
      </c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</row>
    <row r="749" spans="1:85" s="1" customFormat="1" ht="15" x14ac:dyDescent="0.25">
      <c r="A749" s="245" t="s">
        <v>1</v>
      </c>
      <c r="B749" s="246"/>
      <c r="C749" s="246"/>
      <c r="D749" s="246"/>
      <c r="E749" s="246"/>
      <c r="F749" s="246"/>
      <c r="G749" s="246"/>
      <c r="H749" s="246"/>
      <c r="I749" s="247"/>
      <c r="J749" s="125">
        <f>ROUND(SUM(J748:J748),2)</f>
        <v>19.399999999999999</v>
      </c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</row>
    <row r="750" spans="1:85" s="1" customFormat="1" ht="15" x14ac:dyDescent="0.25">
      <c r="A750" s="127"/>
      <c r="B750" s="8"/>
      <c r="C750" s="8"/>
      <c r="D750" s="8"/>
      <c r="E750" s="8"/>
      <c r="F750" s="8"/>
      <c r="G750" s="8"/>
      <c r="H750" s="8"/>
      <c r="I750" s="12"/>
      <c r="J750" s="13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</row>
    <row r="751" spans="1:85" s="1" customFormat="1" ht="49.7" customHeight="1" x14ac:dyDescent="0.2">
      <c r="A751" s="121" t="s">
        <v>399</v>
      </c>
      <c r="B751" s="40" t="s">
        <v>16</v>
      </c>
      <c r="C751" s="226" t="str">
        <f>VLOOKUP(A751,ORÇAMENTO!B:K,4,FALSE)</f>
        <v>CORTE E DOBRA DE AÇO CA-50, DIÂMETRO DE 10,0 MM. AF_06/2022</v>
      </c>
      <c r="D751" s="227"/>
      <c r="E751" s="227"/>
      <c r="F751" s="227"/>
      <c r="G751" s="227"/>
      <c r="H751" s="41" t="str">
        <f>VLOOKUP(A751,ORÇAMENTO!B:K,2,FALSE)</f>
        <v>SINAPI</v>
      </c>
      <c r="I751" s="41" t="str">
        <f>VLOOKUP(A751,ORÇAMENTO!B:K,5,FALSE)</f>
        <v>KG</v>
      </c>
      <c r="J751" s="122">
        <f>J755</f>
        <v>222.2</v>
      </c>
    </row>
    <row r="752" spans="1:85" s="1" customFormat="1" ht="14.25" customHeight="1" x14ac:dyDescent="0.2">
      <c r="A752" s="248"/>
      <c r="B752" s="249"/>
      <c r="C752" s="242"/>
      <c r="D752" s="242" t="s">
        <v>317</v>
      </c>
      <c r="E752" s="230" t="s">
        <v>0</v>
      </c>
      <c r="F752" s="230"/>
      <c r="G752" s="230"/>
      <c r="H752" s="230"/>
      <c r="I752" s="230"/>
      <c r="J752" s="234" t="s">
        <v>318</v>
      </c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</row>
    <row r="753" spans="1:85" s="1" customFormat="1" ht="14.25" customHeight="1" x14ac:dyDescent="0.2">
      <c r="A753" s="248"/>
      <c r="B753" s="249"/>
      <c r="C753" s="242"/>
      <c r="D753" s="242"/>
      <c r="E753" s="231"/>
      <c r="F753" s="231"/>
      <c r="G753" s="231"/>
      <c r="H753" s="231"/>
      <c r="I753" s="231"/>
      <c r="J753" s="234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</row>
    <row r="754" spans="1:85" s="1" customFormat="1" ht="15" x14ac:dyDescent="0.2">
      <c r="A754" s="243"/>
      <c r="B754" s="244"/>
      <c r="C754" s="9" t="s">
        <v>316</v>
      </c>
      <c r="D754" s="4">
        <v>111.1</v>
      </c>
      <c r="E754" s="4">
        <v>2</v>
      </c>
      <c r="F754" s="3"/>
      <c r="G754" s="3"/>
      <c r="H754" s="3"/>
      <c r="I754" s="3"/>
      <c r="J754" s="123">
        <f>PRODUCT(D754:I754)</f>
        <v>222.2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</row>
    <row r="755" spans="1:85" s="1" customFormat="1" ht="15" x14ac:dyDescent="0.25">
      <c r="A755" s="245" t="s">
        <v>1</v>
      </c>
      <c r="B755" s="246"/>
      <c r="C755" s="246"/>
      <c r="D755" s="246"/>
      <c r="E755" s="246"/>
      <c r="F755" s="246"/>
      <c r="G755" s="246"/>
      <c r="H755" s="246"/>
      <c r="I755" s="247"/>
      <c r="J755" s="125">
        <f>ROUND(SUM(J754:J754),2)</f>
        <v>222.2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</row>
    <row r="756" spans="1:85" s="1" customFormat="1" ht="15" x14ac:dyDescent="0.25">
      <c r="A756" s="127"/>
      <c r="B756" s="8"/>
      <c r="C756" s="8"/>
      <c r="D756" s="8"/>
      <c r="E756" s="8"/>
      <c r="F756" s="8"/>
      <c r="G756" s="8"/>
      <c r="H756" s="8"/>
      <c r="I756" s="12"/>
      <c r="J756" s="136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</row>
    <row r="757" spans="1:85" s="1" customFormat="1" ht="49.7" customHeight="1" x14ac:dyDescent="0.2">
      <c r="A757" s="121" t="s">
        <v>400</v>
      </c>
      <c r="B757" s="40" t="s">
        <v>16</v>
      </c>
      <c r="C757" s="226" t="str">
        <f>VLOOKUP(A757,ORÇAMENTO!B:K,4,FALSE)</f>
        <v>CORTE E DOBRA DE AÇO CA-50, DIÂMETRO DE 12,5 MM. AF_06/2022</v>
      </c>
      <c r="D757" s="227"/>
      <c r="E757" s="227"/>
      <c r="F757" s="227"/>
      <c r="G757" s="227"/>
      <c r="H757" s="41" t="str">
        <f>VLOOKUP(A757,ORÇAMENTO!B:K,2,FALSE)</f>
        <v>SINAPI</v>
      </c>
      <c r="I757" s="41" t="str">
        <f>VLOOKUP(A757,ORÇAMENTO!B:K,5,FALSE)</f>
        <v>KG</v>
      </c>
      <c r="J757" s="122">
        <f>J761</f>
        <v>54</v>
      </c>
    </row>
    <row r="758" spans="1:85" s="1" customFormat="1" ht="14.25" customHeight="1" x14ac:dyDescent="0.2">
      <c r="A758" s="248"/>
      <c r="B758" s="249"/>
      <c r="C758" s="242"/>
      <c r="D758" s="242" t="s">
        <v>317</v>
      </c>
      <c r="E758" s="230" t="s">
        <v>0</v>
      </c>
      <c r="F758" s="230"/>
      <c r="G758" s="230"/>
      <c r="H758" s="230"/>
      <c r="I758" s="230"/>
      <c r="J758" s="234" t="s">
        <v>318</v>
      </c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</row>
    <row r="759" spans="1:85" s="1" customFormat="1" ht="14.25" customHeight="1" x14ac:dyDescent="0.2">
      <c r="A759" s="248"/>
      <c r="B759" s="249"/>
      <c r="C759" s="242"/>
      <c r="D759" s="242"/>
      <c r="E759" s="231"/>
      <c r="F759" s="231"/>
      <c r="G759" s="231"/>
      <c r="H759" s="231"/>
      <c r="I759" s="231"/>
      <c r="J759" s="234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</row>
    <row r="760" spans="1:85" s="1" customFormat="1" ht="15" x14ac:dyDescent="0.2">
      <c r="A760" s="243"/>
      <c r="B760" s="244"/>
      <c r="C760" s="9" t="s">
        <v>316</v>
      </c>
      <c r="D760" s="4">
        <v>27</v>
      </c>
      <c r="E760" s="4">
        <v>2</v>
      </c>
      <c r="F760" s="3"/>
      <c r="G760" s="3"/>
      <c r="H760" s="3"/>
      <c r="I760" s="3"/>
      <c r="J760" s="123">
        <f>PRODUCT(D760:I760)</f>
        <v>54</v>
      </c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</row>
    <row r="761" spans="1:85" s="1" customFormat="1" ht="15" x14ac:dyDescent="0.25">
      <c r="A761" s="245" t="s">
        <v>1</v>
      </c>
      <c r="B761" s="246"/>
      <c r="C761" s="246"/>
      <c r="D761" s="246"/>
      <c r="E761" s="246"/>
      <c r="F761" s="246"/>
      <c r="G761" s="246"/>
      <c r="H761" s="246"/>
      <c r="I761" s="247"/>
      <c r="J761" s="125">
        <f>ROUND(SUM(J760:J760),2)</f>
        <v>54</v>
      </c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</row>
    <row r="762" spans="1:85" s="1" customFormat="1" ht="15" x14ac:dyDescent="0.25">
      <c r="A762" s="127"/>
      <c r="B762" s="8"/>
      <c r="C762" s="8"/>
      <c r="D762" s="8"/>
      <c r="E762" s="8"/>
      <c r="F762" s="8"/>
      <c r="G762" s="8"/>
      <c r="H762" s="8"/>
      <c r="I762" s="12"/>
      <c r="J762" s="136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</row>
    <row r="763" spans="1:85" s="1" customFormat="1" ht="49.7" customHeight="1" x14ac:dyDescent="0.2">
      <c r="A763" s="121" t="s">
        <v>401</v>
      </c>
      <c r="B763" s="40" t="s">
        <v>16</v>
      </c>
      <c r="C763" s="226" t="str">
        <f>VLOOKUP(A763,ORÇAMENTO!B:K,4,FALSE)</f>
        <v>FORNECIMENTO DE CONCRETO ESTRUTURAL, PREPARADO EM OBRA COM BETONEIRA, COM FCK 25MPA, INCLUSIVE LANÇAMENTO, ADENSAMENTO E ACABAMENTO (FUNDAÇÃO)</v>
      </c>
      <c r="D763" s="227"/>
      <c r="E763" s="227"/>
      <c r="F763" s="227"/>
      <c r="G763" s="227"/>
      <c r="H763" s="41" t="str">
        <f>VLOOKUP(A763,ORÇAMENTO!B:K,2,FALSE)</f>
        <v>SETOP</v>
      </c>
      <c r="I763" s="41" t="str">
        <f>VLOOKUP(A763,ORÇAMENTO!B:K,5,FALSE)</f>
        <v>m3</v>
      </c>
      <c r="J763" s="122">
        <f>J767</f>
        <v>16.5</v>
      </c>
    </row>
    <row r="764" spans="1:85" s="1" customFormat="1" ht="14.25" customHeight="1" x14ac:dyDescent="0.2">
      <c r="A764" s="248"/>
      <c r="B764" s="249"/>
      <c r="C764" s="242"/>
      <c r="D764" s="242" t="s">
        <v>435</v>
      </c>
      <c r="E764" s="230" t="s">
        <v>0</v>
      </c>
      <c r="F764" s="230"/>
      <c r="G764" s="230"/>
      <c r="H764" s="230"/>
      <c r="I764" s="230"/>
      <c r="J764" s="234" t="s">
        <v>308</v>
      </c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</row>
    <row r="765" spans="1:85" s="1" customFormat="1" ht="14.25" customHeight="1" x14ac:dyDescent="0.2">
      <c r="A765" s="248"/>
      <c r="B765" s="249"/>
      <c r="C765" s="242"/>
      <c r="D765" s="242"/>
      <c r="E765" s="231"/>
      <c r="F765" s="231"/>
      <c r="G765" s="231"/>
      <c r="H765" s="231"/>
      <c r="I765" s="231"/>
      <c r="J765" s="234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</row>
    <row r="766" spans="1:85" s="1" customFormat="1" ht="15" x14ac:dyDescent="0.2">
      <c r="A766" s="243"/>
      <c r="B766" s="244"/>
      <c r="C766" s="9" t="s">
        <v>316</v>
      </c>
      <c r="D766" s="4">
        <v>8.25</v>
      </c>
      <c r="E766" s="4">
        <v>2</v>
      </c>
      <c r="F766" s="3"/>
      <c r="G766" s="3"/>
      <c r="H766" s="3"/>
      <c r="I766" s="3"/>
      <c r="J766" s="123">
        <f>PRODUCT(D766:I766)</f>
        <v>16.5</v>
      </c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</row>
    <row r="767" spans="1:85" s="1" customFormat="1" ht="15" x14ac:dyDescent="0.25">
      <c r="A767" s="245" t="s">
        <v>1</v>
      </c>
      <c r="B767" s="246"/>
      <c r="C767" s="246"/>
      <c r="D767" s="246"/>
      <c r="E767" s="246"/>
      <c r="F767" s="246"/>
      <c r="G767" s="246"/>
      <c r="H767" s="246"/>
      <c r="I767" s="247"/>
      <c r="J767" s="125">
        <f>ROUND(SUM(J766:J766),2)</f>
        <v>16.5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</row>
    <row r="768" spans="1:85" s="1" customFormat="1" ht="15" x14ac:dyDescent="0.25">
      <c r="A768" s="127"/>
      <c r="B768" s="8"/>
      <c r="C768" s="8"/>
      <c r="D768" s="8"/>
      <c r="E768" s="8"/>
      <c r="F768" s="8"/>
      <c r="G768" s="8"/>
      <c r="H768" s="8"/>
      <c r="I768" s="12"/>
      <c r="J768" s="136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</row>
    <row r="769" spans="1:10" s="1" customFormat="1" ht="15" x14ac:dyDescent="0.2">
      <c r="A769" s="285" t="str">
        <f>ORÇAMENTO!B130</f>
        <v xml:space="preserve">RESPONSÁVEL TÉCNICO: </v>
      </c>
      <c r="B769" s="286"/>
      <c r="C769" s="286"/>
      <c r="D769" s="286"/>
      <c r="E769" s="286" t="str">
        <f>ORÇAMENTO!F130</f>
        <v xml:space="preserve">RESPONSÁVEL LEGAL: </v>
      </c>
      <c r="F769" s="286"/>
      <c r="G769" s="286"/>
      <c r="H769" s="286"/>
      <c r="I769" s="286"/>
      <c r="J769" s="287"/>
    </row>
    <row r="770" spans="1:10" s="1" customFormat="1" ht="15" customHeight="1" x14ac:dyDescent="0.2">
      <c r="A770" s="292" t="str">
        <f>ORÇAMENTO!B132</f>
        <v>______________________________________________
GERALDO DIAS PEREIRA JÚNIOR
ENGENHEIRO CIVIL - CREA:  248.562/D - MG</v>
      </c>
      <c r="B770" s="288"/>
      <c r="C770" s="288"/>
      <c r="D770" s="288"/>
      <c r="E770" s="288" t="str">
        <f>ORÇAMENTO!F132</f>
        <v>_________________________________________
MIGUEL PAULO SOUZA FILHO
PREFEITO MUNICIPAL DE SÃO FRANCISCO</v>
      </c>
      <c r="F770" s="288"/>
      <c r="G770" s="288"/>
      <c r="H770" s="288"/>
      <c r="I770" s="288"/>
      <c r="J770" s="289"/>
    </row>
    <row r="771" spans="1:10" s="1" customFormat="1" x14ac:dyDescent="0.2">
      <c r="A771" s="292"/>
      <c r="B771" s="288"/>
      <c r="C771" s="288"/>
      <c r="D771" s="288"/>
      <c r="E771" s="288"/>
      <c r="F771" s="288"/>
      <c r="G771" s="288"/>
      <c r="H771" s="288"/>
      <c r="I771" s="288"/>
      <c r="J771" s="289"/>
    </row>
    <row r="772" spans="1:10" s="1" customFormat="1" x14ac:dyDescent="0.2">
      <c r="A772" s="292"/>
      <c r="B772" s="288"/>
      <c r="C772" s="288"/>
      <c r="D772" s="288"/>
      <c r="E772" s="288"/>
      <c r="F772" s="288"/>
      <c r="G772" s="288"/>
      <c r="H772" s="288"/>
      <c r="I772" s="288"/>
      <c r="J772" s="289"/>
    </row>
    <row r="773" spans="1:10" x14ac:dyDescent="0.2">
      <c r="A773" s="292"/>
      <c r="B773" s="288"/>
      <c r="C773" s="288"/>
      <c r="D773" s="288"/>
      <c r="E773" s="288"/>
      <c r="F773" s="288"/>
      <c r="G773" s="288"/>
      <c r="H773" s="288"/>
      <c r="I773" s="288"/>
      <c r="J773" s="289"/>
    </row>
    <row r="774" spans="1:10" x14ac:dyDescent="0.2">
      <c r="A774" s="292"/>
      <c r="B774" s="288"/>
      <c r="C774" s="288"/>
      <c r="D774" s="288"/>
      <c r="E774" s="288"/>
      <c r="F774" s="288"/>
      <c r="G774" s="288"/>
      <c r="H774" s="288"/>
      <c r="I774" s="288"/>
      <c r="J774" s="289"/>
    </row>
    <row r="775" spans="1:10" ht="14.25" customHeight="1" thickBot="1" x14ac:dyDescent="0.25">
      <c r="A775" s="293"/>
      <c r="B775" s="290"/>
      <c r="C775" s="290"/>
      <c r="D775" s="290"/>
      <c r="E775" s="290"/>
      <c r="F775" s="290"/>
      <c r="G775" s="290"/>
      <c r="H775" s="290"/>
      <c r="I775" s="290"/>
      <c r="J775" s="291"/>
    </row>
    <row r="776" spans="1:10" ht="15" x14ac:dyDescent="0.25">
      <c r="C776" s="273"/>
      <c r="D776" s="273"/>
      <c r="E776" s="273"/>
      <c r="F776" s="273"/>
      <c r="G776" s="273"/>
      <c r="H776" s="273"/>
    </row>
    <row r="777" spans="1:10" x14ac:dyDescent="0.2">
      <c r="C777" s="274"/>
      <c r="D777" s="274"/>
      <c r="E777" s="274"/>
      <c r="F777" s="274"/>
      <c r="G777" s="274"/>
      <c r="H777" s="274"/>
    </row>
  </sheetData>
  <mergeCells count="1365">
    <mergeCell ref="C141:G141"/>
    <mergeCell ref="A142:B143"/>
    <mergeCell ref="C142:C143"/>
    <mergeCell ref="D142:D143"/>
    <mergeCell ref="E142:E143"/>
    <mergeCell ref="F142:F143"/>
    <mergeCell ref="G142:G143"/>
    <mergeCell ref="H142:H143"/>
    <mergeCell ref="I142:I143"/>
    <mergeCell ref="A396:B396"/>
    <mergeCell ref="A398:I398"/>
    <mergeCell ref="J468:J469"/>
    <mergeCell ref="A101:C101"/>
    <mergeCell ref="A100:C100"/>
    <mergeCell ref="A99:C99"/>
    <mergeCell ref="A97:C98"/>
    <mergeCell ref="J764:J765"/>
    <mergeCell ref="A766:B766"/>
    <mergeCell ref="A767:I767"/>
    <mergeCell ref="A384:B385"/>
    <mergeCell ref="C384:C385"/>
    <mergeCell ref="D384:D385"/>
    <mergeCell ref="E384:E385"/>
    <mergeCell ref="F384:F385"/>
    <mergeCell ref="G384:G385"/>
    <mergeCell ref="H384:H385"/>
    <mergeCell ref="I384:I385"/>
    <mergeCell ref="J384:J385"/>
    <mergeCell ref="A386:B386"/>
    <mergeCell ref="A387:I387"/>
    <mergeCell ref="A523:B523"/>
    <mergeCell ref="A525:I525"/>
    <mergeCell ref="F501:F502"/>
    <mergeCell ref="G501:G502"/>
    <mergeCell ref="H501:H502"/>
    <mergeCell ref="I501:I502"/>
    <mergeCell ref="J501:J502"/>
    <mergeCell ref="A503:B503"/>
    <mergeCell ref="A505:I505"/>
    <mergeCell ref="A517:B517"/>
    <mergeCell ref="A524:B524"/>
    <mergeCell ref="A477:I477"/>
    <mergeCell ref="A476:C476"/>
    <mergeCell ref="J142:J143"/>
    <mergeCell ref="A144:B144"/>
    <mergeCell ref="A145:I145"/>
    <mergeCell ref="A251:B251"/>
    <mergeCell ref="A342:B342"/>
    <mergeCell ref="A329:B329"/>
    <mergeCell ref="A326:B326"/>
    <mergeCell ref="A327:B327"/>
    <mergeCell ref="A328:B328"/>
    <mergeCell ref="A335:B335"/>
    <mergeCell ref="C520:G520"/>
    <mergeCell ref="A521:B522"/>
    <mergeCell ref="C521:C522"/>
    <mergeCell ref="D521:D522"/>
    <mergeCell ref="E521:E522"/>
    <mergeCell ref="F521:F522"/>
    <mergeCell ref="G521:G522"/>
    <mergeCell ref="H521:H522"/>
    <mergeCell ref="I521:I522"/>
    <mergeCell ref="J521:J522"/>
    <mergeCell ref="C494:G494"/>
    <mergeCell ref="A495:B496"/>
    <mergeCell ref="C495:C496"/>
    <mergeCell ref="D495:D496"/>
    <mergeCell ref="E495:E496"/>
    <mergeCell ref="F495:F496"/>
    <mergeCell ref="G495:G496"/>
    <mergeCell ref="H495:H496"/>
    <mergeCell ref="I495:I496"/>
    <mergeCell ref="J495:J496"/>
    <mergeCell ref="A497:B497"/>
    <mergeCell ref="A498:I498"/>
    <mergeCell ref="E401:E402"/>
    <mergeCell ref="F401:F402"/>
    <mergeCell ref="G401:G402"/>
    <mergeCell ref="A343:B343"/>
    <mergeCell ref="A344:B344"/>
    <mergeCell ref="A341:B341"/>
    <mergeCell ref="A345:I345"/>
    <mergeCell ref="C347:G347"/>
    <mergeCell ref="A325:B325"/>
    <mergeCell ref="A330:I330"/>
    <mergeCell ref="C332:G332"/>
    <mergeCell ref="A313:B313"/>
    <mergeCell ref="A314:I314"/>
    <mergeCell ref="A380:B380"/>
    <mergeCell ref="A381:I381"/>
    <mergeCell ref="C383:G383"/>
    <mergeCell ref="A368:B368"/>
    <mergeCell ref="A369:I369"/>
    <mergeCell ref="C371:G371"/>
    <mergeCell ref="A372:B373"/>
    <mergeCell ref="C372:C373"/>
    <mergeCell ref="D372:D373"/>
    <mergeCell ref="E372:E373"/>
    <mergeCell ref="F372:F373"/>
    <mergeCell ref="G372:G373"/>
    <mergeCell ref="H372:H373"/>
    <mergeCell ref="I372:I373"/>
    <mergeCell ref="J372:J373"/>
    <mergeCell ref="A374:B374"/>
    <mergeCell ref="A375:I375"/>
    <mergeCell ref="C377:G377"/>
    <mergeCell ref="A378:B379"/>
    <mergeCell ref="C378:C379"/>
    <mergeCell ref="D378:D379"/>
    <mergeCell ref="E378:E379"/>
    <mergeCell ref="F378:F379"/>
    <mergeCell ref="G378:G379"/>
    <mergeCell ref="H378:H379"/>
    <mergeCell ref="I378:I379"/>
    <mergeCell ref="J378:J379"/>
    <mergeCell ref="A356:B356"/>
    <mergeCell ref="A357:I357"/>
    <mergeCell ref="C359:G359"/>
    <mergeCell ref="A360:B361"/>
    <mergeCell ref="C360:C361"/>
    <mergeCell ref="D360:D361"/>
    <mergeCell ref="E360:E361"/>
    <mergeCell ref="F360:F361"/>
    <mergeCell ref="G360:G361"/>
    <mergeCell ref="H360:H361"/>
    <mergeCell ref="I360:I361"/>
    <mergeCell ref="J360:J361"/>
    <mergeCell ref="A362:B362"/>
    <mergeCell ref="A363:I363"/>
    <mergeCell ref="C365:G365"/>
    <mergeCell ref="A366:B367"/>
    <mergeCell ref="C366:C367"/>
    <mergeCell ref="D366:D367"/>
    <mergeCell ref="E366:E367"/>
    <mergeCell ref="F366:F367"/>
    <mergeCell ref="G366:G367"/>
    <mergeCell ref="H366:H367"/>
    <mergeCell ref="I366:I367"/>
    <mergeCell ref="J366:J367"/>
    <mergeCell ref="J348:J349"/>
    <mergeCell ref="A351:I351"/>
    <mergeCell ref="C353:G353"/>
    <mergeCell ref="A354:B355"/>
    <mergeCell ref="C354:C355"/>
    <mergeCell ref="D354:D355"/>
    <mergeCell ref="E354:E355"/>
    <mergeCell ref="F354:F355"/>
    <mergeCell ref="G354:G355"/>
    <mergeCell ref="H354:H355"/>
    <mergeCell ref="I354:I355"/>
    <mergeCell ref="J354:J355"/>
    <mergeCell ref="A348:B349"/>
    <mergeCell ref="C348:C349"/>
    <mergeCell ref="D348:D349"/>
    <mergeCell ref="E348:E349"/>
    <mergeCell ref="F348:F349"/>
    <mergeCell ref="G348:G349"/>
    <mergeCell ref="H348:H349"/>
    <mergeCell ref="I348:I349"/>
    <mergeCell ref="A350:B350"/>
    <mergeCell ref="J333:J334"/>
    <mergeCell ref="A336:I336"/>
    <mergeCell ref="C338:G338"/>
    <mergeCell ref="A339:B340"/>
    <mergeCell ref="C339:C340"/>
    <mergeCell ref="D339:D340"/>
    <mergeCell ref="E339:E340"/>
    <mergeCell ref="F339:F340"/>
    <mergeCell ref="G339:G340"/>
    <mergeCell ref="H339:H340"/>
    <mergeCell ref="I339:I340"/>
    <mergeCell ref="J339:J340"/>
    <mergeCell ref="A333:B334"/>
    <mergeCell ref="C333:C334"/>
    <mergeCell ref="D333:D334"/>
    <mergeCell ref="E333:E334"/>
    <mergeCell ref="F333:F334"/>
    <mergeCell ref="G333:G334"/>
    <mergeCell ref="H333:H334"/>
    <mergeCell ref="I333:I334"/>
    <mergeCell ref="A323:B324"/>
    <mergeCell ref="C323:C324"/>
    <mergeCell ref="D323:D324"/>
    <mergeCell ref="E323:E324"/>
    <mergeCell ref="F323:F324"/>
    <mergeCell ref="G323:G324"/>
    <mergeCell ref="H323:H324"/>
    <mergeCell ref="I323:I324"/>
    <mergeCell ref="J323:J324"/>
    <mergeCell ref="A317:B318"/>
    <mergeCell ref="C317:C318"/>
    <mergeCell ref="D317:D318"/>
    <mergeCell ref="E317:E318"/>
    <mergeCell ref="F317:F318"/>
    <mergeCell ref="G317:G318"/>
    <mergeCell ref="H317:H318"/>
    <mergeCell ref="I317:I318"/>
    <mergeCell ref="A305:B305"/>
    <mergeCell ref="A306:I306"/>
    <mergeCell ref="B308:J308"/>
    <mergeCell ref="C310:G310"/>
    <mergeCell ref="A311:B312"/>
    <mergeCell ref="C311:C312"/>
    <mergeCell ref="D311:D312"/>
    <mergeCell ref="E311:E312"/>
    <mergeCell ref="F311:F312"/>
    <mergeCell ref="G311:G312"/>
    <mergeCell ref="H311:H312"/>
    <mergeCell ref="I311:I312"/>
    <mergeCell ref="J311:J312"/>
    <mergeCell ref="J317:J318"/>
    <mergeCell ref="A319:B319"/>
    <mergeCell ref="A320:I320"/>
    <mergeCell ref="C322:G322"/>
    <mergeCell ref="C316:G316"/>
    <mergeCell ref="A303:B304"/>
    <mergeCell ref="C303:C304"/>
    <mergeCell ref="D303:D304"/>
    <mergeCell ref="E303:E304"/>
    <mergeCell ref="F303:F304"/>
    <mergeCell ref="G303:G304"/>
    <mergeCell ref="H303:H304"/>
    <mergeCell ref="D297:D298"/>
    <mergeCell ref="E297:E298"/>
    <mergeCell ref="F297:F298"/>
    <mergeCell ref="G297:G298"/>
    <mergeCell ref="H297:H298"/>
    <mergeCell ref="I297:I298"/>
    <mergeCell ref="J297:J298"/>
    <mergeCell ref="A299:B299"/>
    <mergeCell ref="A300:I300"/>
    <mergeCell ref="J303:J304"/>
    <mergeCell ref="I303:I304"/>
    <mergeCell ref="A297:B298"/>
    <mergeCell ref="C297:C298"/>
    <mergeCell ref="A240:B241"/>
    <mergeCell ref="C240:C241"/>
    <mergeCell ref="D240:D241"/>
    <mergeCell ref="E240:E241"/>
    <mergeCell ref="F240:F241"/>
    <mergeCell ref="G240:G241"/>
    <mergeCell ref="H240:H241"/>
    <mergeCell ref="I240:I241"/>
    <mergeCell ref="B294:J294"/>
    <mergeCell ref="C302:G302"/>
    <mergeCell ref="B292:J292"/>
    <mergeCell ref="C296:G296"/>
    <mergeCell ref="J209:J210"/>
    <mergeCell ref="A211:B211"/>
    <mergeCell ref="A225:I225"/>
    <mergeCell ref="C254:G254"/>
    <mergeCell ref="A255:B256"/>
    <mergeCell ref="C255:C256"/>
    <mergeCell ref="D255:D256"/>
    <mergeCell ref="E255:E256"/>
    <mergeCell ref="F255:F256"/>
    <mergeCell ref="G255:G256"/>
    <mergeCell ref="H255:H256"/>
    <mergeCell ref="I255:I256"/>
    <mergeCell ref="H209:H210"/>
    <mergeCell ref="I209:I210"/>
    <mergeCell ref="C227:G227"/>
    <mergeCell ref="A228:B229"/>
    <mergeCell ref="C228:C229"/>
    <mergeCell ref="D228:D229"/>
    <mergeCell ref="A140:J140"/>
    <mergeCell ref="A158:B158"/>
    <mergeCell ref="A159:I159"/>
    <mergeCell ref="A160:J160"/>
    <mergeCell ref="C161:G161"/>
    <mergeCell ref="A162:B163"/>
    <mergeCell ref="C162:C163"/>
    <mergeCell ref="J240:J241"/>
    <mergeCell ref="A243:I243"/>
    <mergeCell ref="C245:G245"/>
    <mergeCell ref="A246:B247"/>
    <mergeCell ref="C246:C247"/>
    <mergeCell ref="D246:D247"/>
    <mergeCell ref="E246:E247"/>
    <mergeCell ref="F246:F247"/>
    <mergeCell ref="G246:G247"/>
    <mergeCell ref="H246:H247"/>
    <mergeCell ref="I246:I247"/>
    <mergeCell ref="J228:J229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C234:C235"/>
    <mergeCell ref="D234:D235"/>
    <mergeCell ref="E234:E235"/>
    <mergeCell ref="F234:F235"/>
    <mergeCell ref="A242:B242"/>
    <mergeCell ref="A63:B63"/>
    <mergeCell ref="A51:I51"/>
    <mergeCell ref="C53:G53"/>
    <mergeCell ref="A54:B55"/>
    <mergeCell ref="C54:C55"/>
    <mergeCell ref="D54:D55"/>
    <mergeCell ref="E54:E55"/>
    <mergeCell ref="F54:F55"/>
    <mergeCell ref="G54:G55"/>
    <mergeCell ref="H54:H55"/>
    <mergeCell ref="I54:I55"/>
    <mergeCell ref="A152:B152"/>
    <mergeCell ref="A153:I153"/>
    <mergeCell ref="A154:J154"/>
    <mergeCell ref="C155:G155"/>
    <mergeCell ref="J234:J235"/>
    <mergeCell ref="A236:B236"/>
    <mergeCell ref="A93:B93"/>
    <mergeCell ref="A94:I94"/>
    <mergeCell ref="C90:G90"/>
    <mergeCell ref="A91:B92"/>
    <mergeCell ref="C91:C92"/>
    <mergeCell ref="D91:D92"/>
    <mergeCell ref="E91:E92"/>
    <mergeCell ref="F91:F92"/>
    <mergeCell ref="G91:G92"/>
    <mergeCell ref="H91:H92"/>
    <mergeCell ref="I91:I92"/>
    <mergeCell ref="F136:F137"/>
    <mergeCell ref="G136:G137"/>
    <mergeCell ref="H136:H137"/>
    <mergeCell ref="I136:I137"/>
    <mergeCell ref="J91:J92"/>
    <mergeCell ref="A87:B87"/>
    <mergeCell ref="A88:I88"/>
    <mergeCell ref="J79:J80"/>
    <mergeCell ref="A81:B81"/>
    <mergeCell ref="A82:I82"/>
    <mergeCell ref="C84:G84"/>
    <mergeCell ref="A85:B86"/>
    <mergeCell ref="C85:C86"/>
    <mergeCell ref="D85:D86"/>
    <mergeCell ref="E85:E86"/>
    <mergeCell ref="F85:F86"/>
    <mergeCell ref="G85:G86"/>
    <mergeCell ref="H85:H86"/>
    <mergeCell ref="I85:I86"/>
    <mergeCell ref="J85:J86"/>
    <mergeCell ref="E47:E48"/>
    <mergeCell ref="A64:B64"/>
    <mergeCell ref="A70:B70"/>
    <mergeCell ref="A71:B71"/>
    <mergeCell ref="A73:B73"/>
    <mergeCell ref="A74:B74"/>
    <mergeCell ref="A75:B75"/>
    <mergeCell ref="F61:F62"/>
    <mergeCell ref="A72:B72"/>
    <mergeCell ref="A66:B66"/>
    <mergeCell ref="A67:B67"/>
    <mergeCell ref="A69:B69"/>
    <mergeCell ref="A65:B65"/>
    <mergeCell ref="A68:B68"/>
    <mergeCell ref="A50:B50"/>
    <mergeCell ref="A57:B57"/>
    <mergeCell ref="E29:E30"/>
    <mergeCell ref="F29:F30"/>
    <mergeCell ref="G29:G30"/>
    <mergeCell ref="H29:H30"/>
    <mergeCell ref="I29:I30"/>
    <mergeCell ref="J29:J30"/>
    <mergeCell ref="A31:B31"/>
    <mergeCell ref="A32:I32"/>
    <mergeCell ref="A33:J33"/>
    <mergeCell ref="C34:G34"/>
    <mergeCell ref="A35:B36"/>
    <mergeCell ref="C35:C36"/>
    <mergeCell ref="D35:D36"/>
    <mergeCell ref="E35:E36"/>
    <mergeCell ref="F35:F36"/>
    <mergeCell ref="J54:J55"/>
    <mergeCell ref="A56:B56"/>
    <mergeCell ref="G35:G36"/>
    <mergeCell ref="H35:H36"/>
    <mergeCell ref="I35:I36"/>
    <mergeCell ref="J35:J36"/>
    <mergeCell ref="A37:B37"/>
    <mergeCell ref="A38:I38"/>
    <mergeCell ref="C40:G40"/>
    <mergeCell ref="A41:B42"/>
    <mergeCell ref="C41:C42"/>
    <mergeCell ref="D41:D42"/>
    <mergeCell ref="E41:E42"/>
    <mergeCell ref="F41:F42"/>
    <mergeCell ref="G41:G42"/>
    <mergeCell ref="H41:H42"/>
    <mergeCell ref="I41:I42"/>
    <mergeCell ref="A1:J1"/>
    <mergeCell ref="A3:J3"/>
    <mergeCell ref="C12:G12"/>
    <mergeCell ref="J13:J14"/>
    <mergeCell ref="A2:J2"/>
    <mergeCell ref="G6:H6"/>
    <mergeCell ref="A7:J7"/>
    <mergeCell ref="A11:J11"/>
    <mergeCell ref="A9:J9"/>
    <mergeCell ref="B10:J10"/>
    <mergeCell ref="A13:B14"/>
    <mergeCell ref="A4:J4"/>
    <mergeCell ref="F23:F24"/>
    <mergeCell ref="G23:G24"/>
    <mergeCell ref="H23:H24"/>
    <mergeCell ref="I23:I24"/>
    <mergeCell ref="J23:J24"/>
    <mergeCell ref="A8:J8"/>
    <mergeCell ref="C777:H777"/>
    <mergeCell ref="H13:H14"/>
    <mergeCell ref="I13:I14"/>
    <mergeCell ref="A16:I16"/>
    <mergeCell ref="A5:J5"/>
    <mergeCell ref="A6:E6"/>
    <mergeCell ref="A15:B15"/>
    <mergeCell ref="E13:E14"/>
    <mergeCell ref="F13:F14"/>
    <mergeCell ref="G13:G14"/>
    <mergeCell ref="C13:C14"/>
    <mergeCell ref="D13:D14"/>
    <mergeCell ref="A769:D769"/>
    <mergeCell ref="E769:J769"/>
    <mergeCell ref="E770:J775"/>
    <mergeCell ref="A770:D775"/>
    <mergeCell ref="B18:J18"/>
    <mergeCell ref="B20:J20"/>
    <mergeCell ref="C22:G22"/>
    <mergeCell ref="A23:B24"/>
    <mergeCell ref="C23:C24"/>
    <mergeCell ref="D23:D24"/>
    <mergeCell ref="E23:E24"/>
    <mergeCell ref="A25:B25"/>
    <mergeCell ref="A26:I26"/>
    <mergeCell ref="C28:G28"/>
    <mergeCell ref="A29:B30"/>
    <mergeCell ref="C29:C30"/>
    <mergeCell ref="D29:D30"/>
    <mergeCell ref="C46:G46"/>
    <mergeCell ref="A47:B48"/>
    <mergeCell ref="C47:C48"/>
    <mergeCell ref="J41:J42"/>
    <mergeCell ref="C776:H776"/>
    <mergeCell ref="D47:D48"/>
    <mergeCell ref="F47:F48"/>
    <mergeCell ref="H47:H48"/>
    <mergeCell ref="I47:I48"/>
    <mergeCell ref="J47:J48"/>
    <mergeCell ref="A58:I58"/>
    <mergeCell ref="C60:G60"/>
    <mergeCell ref="A61:B62"/>
    <mergeCell ref="C61:C62"/>
    <mergeCell ref="D61:D62"/>
    <mergeCell ref="E61:E62"/>
    <mergeCell ref="G61:G62"/>
    <mergeCell ref="H61:H62"/>
    <mergeCell ref="I61:I62"/>
    <mergeCell ref="J61:J62"/>
    <mergeCell ref="B114:J114"/>
    <mergeCell ref="A115:J115"/>
    <mergeCell ref="C116:G116"/>
    <mergeCell ref="A117:B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A43:B43"/>
    <mergeCell ref="A44:I44"/>
    <mergeCell ref="A49:B49"/>
    <mergeCell ref="A76:I76"/>
    <mergeCell ref="C78:G78"/>
    <mergeCell ref="A79:B80"/>
    <mergeCell ref="C79:C80"/>
    <mergeCell ref="D79:D80"/>
    <mergeCell ref="E79:E80"/>
    <mergeCell ref="F79:F80"/>
    <mergeCell ref="A125:B125"/>
    <mergeCell ref="A127:I127"/>
    <mergeCell ref="C129:G129"/>
    <mergeCell ref="A130:B131"/>
    <mergeCell ref="C130:C131"/>
    <mergeCell ref="D130:D131"/>
    <mergeCell ref="E130:E131"/>
    <mergeCell ref="F130:F131"/>
    <mergeCell ref="G130:G131"/>
    <mergeCell ref="H130:H131"/>
    <mergeCell ref="I130:I131"/>
    <mergeCell ref="A119:B119"/>
    <mergeCell ref="A120:I120"/>
    <mergeCell ref="A126:B126"/>
    <mergeCell ref="G79:G80"/>
    <mergeCell ref="H79:H80"/>
    <mergeCell ref="I79:I80"/>
    <mergeCell ref="A105:C105"/>
    <mergeCell ref="A104:C104"/>
    <mergeCell ref="A103:C103"/>
    <mergeCell ref="A102:C102"/>
    <mergeCell ref="F97:F98"/>
    <mergeCell ref="L121:M121"/>
    <mergeCell ref="C122:G122"/>
    <mergeCell ref="A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B147:J147"/>
    <mergeCell ref="C149:G149"/>
    <mergeCell ref="A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J130:J131"/>
    <mergeCell ref="A132:B132"/>
    <mergeCell ref="A133:I133"/>
    <mergeCell ref="C135:G135"/>
    <mergeCell ref="A136:B137"/>
    <mergeCell ref="C136:C137"/>
    <mergeCell ref="D136:D137"/>
    <mergeCell ref="E136:E137"/>
    <mergeCell ref="J136:J137"/>
    <mergeCell ref="A139:I139"/>
    <mergeCell ref="D162:D163"/>
    <mergeCell ref="E162:E163"/>
    <mergeCell ref="F162:F163"/>
    <mergeCell ref="G162:G163"/>
    <mergeCell ref="H162:H163"/>
    <mergeCell ref="I162:I163"/>
    <mergeCell ref="J162:J163"/>
    <mergeCell ref="A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A170:B170"/>
    <mergeCell ref="A171:I171"/>
    <mergeCell ref="A172:J172"/>
    <mergeCell ref="B173:J173"/>
    <mergeCell ref="C175:G175"/>
    <mergeCell ref="A176:B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A164:B164"/>
    <mergeCell ref="A165:I165"/>
    <mergeCell ref="A166:J166"/>
    <mergeCell ref="C167:G167"/>
    <mergeCell ref="A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J182:J183"/>
    <mergeCell ref="A184:B184"/>
    <mergeCell ref="A185:I185"/>
    <mergeCell ref="B187:J187"/>
    <mergeCell ref="C189:G189"/>
    <mergeCell ref="A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A178:B178"/>
    <mergeCell ref="A179:I179"/>
    <mergeCell ref="C181:G181"/>
    <mergeCell ref="A182:B183"/>
    <mergeCell ref="C182:C183"/>
    <mergeCell ref="D182:D183"/>
    <mergeCell ref="E182:E183"/>
    <mergeCell ref="F182:F183"/>
    <mergeCell ref="G182:G183"/>
    <mergeCell ref="H182:H183"/>
    <mergeCell ref="I182:I183"/>
    <mergeCell ref="E228:E229"/>
    <mergeCell ref="F228:F229"/>
    <mergeCell ref="G228:G229"/>
    <mergeCell ref="H228:H229"/>
    <mergeCell ref="I228:I229"/>
    <mergeCell ref="A193:B193"/>
    <mergeCell ref="A194:B194"/>
    <mergeCell ref="A201:B201"/>
    <mergeCell ref="A202:B202"/>
    <mergeCell ref="A203:B203"/>
    <mergeCell ref="A204:B204"/>
    <mergeCell ref="A205:B205"/>
    <mergeCell ref="A195:B195"/>
    <mergeCell ref="A196:B196"/>
    <mergeCell ref="A197:B197"/>
    <mergeCell ref="A198:B198"/>
    <mergeCell ref="A199:B199"/>
    <mergeCell ref="A200:B200"/>
    <mergeCell ref="A212:B212"/>
    <mergeCell ref="A213:B213"/>
    <mergeCell ref="A214:B214"/>
    <mergeCell ref="A215:B215"/>
    <mergeCell ref="A216:B216"/>
    <mergeCell ref="J255:J256"/>
    <mergeCell ref="A230:B230"/>
    <mergeCell ref="A231:I231"/>
    <mergeCell ref="C233:G233"/>
    <mergeCell ref="A234:B235"/>
    <mergeCell ref="A237:I237"/>
    <mergeCell ref="C239:G239"/>
    <mergeCell ref="G234:G235"/>
    <mergeCell ref="H234:H235"/>
    <mergeCell ref="I234:I235"/>
    <mergeCell ref="A248:B248"/>
    <mergeCell ref="A249:B249"/>
    <mergeCell ref="A250:B250"/>
    <mergeCell ref="J246:J247"/>
    <mergeCell ref="A252:I252"/>
    <mergeCell ref="C268:G268"/>
    <mergeCell ref="A269:B270"/>
    <mergeCell ref="C269:C270"/>
    <mergeCell ref="D269:D270"/>
    <mergeCell ref="E269:E270"/>
    <mergeCell ref="F269:F270"/>
    <mergeCell ref="G269:G270"/>
    <mergeCell ref="H269:H270"/>
    <mergeCell ref="I269:I270"/>
    <mergeCell ref="A265:B265"/>
    <mergeCell ref="A266:I266"/>
    <mergeCell ref="A257:B257"/>
    <mergeCell ref="A258:I258"/>
    <mergeCell ref="B260:J260"/>
    <mergeCell ref="C262:G262"/>
    <mergeCell ref="A263:B264"/>
    <mergeCell ref="C263:C264"/>
    <mergeCell ref="J287:J288"/>
    <mergeCell ref="A277:B277"/>
    <mergeCell ref="A278:I278"/>
    <mergeCell ref="C280:G280"/>
    <mergeCell ref="A281:B282"/>
    <mergeCell ref="C281:C282"/>
    <mergeCell ref="D281:D282"/>
    <mergeCell ref="J263:J264"/>
    <mergeCell ref="E281:E282"/>
    <mergeCell ref="F281:F282"/>
    <mergeCell ref="G281:G282"/>
    <mergeCell ref="H281:H282"/>
    <mergeCell ref="I281:I282"/>
    <mergeCell ref="J269:J270"/>
    <mergeCell ref="A271:B271"/>
    <mergeCell ref="A272:I272"/>
    <mergeCell ref="C274:G274"/>
    <mergeCell ref="A275:B276"/>
    <mergeCell ref="C275:C276"/>
    <mergeCell ref="D275:D276"/>
    <mergeCell ref="E275:E276"/>
    <mergeCell ref="F275:F276"/>
    <mergeCell ref="G275:G276"/>
    <mergeCell ref="H275:H276"/>
    <mergeCell ref="I275:I276"/>
    <mergeCell ref="J275:J276"/>
    <mergeCell ref="J281:J282"/>
    <mergeCell ref="A409:B409"/>
    <mergeCell ref="A410:I410"/>
    <mergeCell ref="C412:G412"/>
    <mergeCell ref="A397:B397"/>
    <mergeCell ref="A289:B289"/>
    <mergeCell ref="A290:I290"/>
    <mergeCell ref="D263:D264"/>
    <mergeCell ref="E263:E264"/>
    <mergeCell ref="F263:F264"/>
    <mergeCell ref="G263:G264"/>
    <mergeCell ref="H263:H264"/>
    <mergeCell ref="I263:I264"/>
    <mergeCell ref="A192:B192"/>
    <mergeCell ref="A206:I206"/>
    <mergeCell ref="C208:G208"/>
    <mergeCell ref="A209:B210"/>
    <mergeCell ref="C209:C210"/>
    <mergeCell ref="D209:D210"/>
    <mergeCell ref="E209:E210"/>
    <mergeCell ref="F209:F210"/>
    <mergeCell ref="G209:G210"/>
    <mergeCell ref="A283:B283"/>
    <mergeCell ref="A284:I284"/>
    <mergeCell ref="C286:G286"/>
    <mergeCell ref="A287:B288"/>
    <mergeCell ref="C287:C288"/>
    <mergeCell ref="D287:D288"/>
    <mergeCell ref="E287:E288"/>
    <mergeCell ref="F287:F288"/>
    <mergeCell ref="G287:G288"/>
    <mergeCell ref="H287:H288"/>
    <mergeCell ref="I287:I288"/>
    <mergeCell ref="J401:J402"/>
    <mergeCell ref="A403:B403"/>
    <mergeCell ref="A404:I404"/>
    <mergeCell ref="A405:J405"/>
    <mergeCell ref="C406:G406"/>
    <mergeCell ref="A407:B408"/>
    <mergeCell ref="C407:C408"/>
    <mergeCell ref="D407:D408"/>
    <mergeCell ref="E407:E408"/>
    <mergeCell ref="F407:F408"/>
    <mergeCell ref="G407:G408"/>
    <mergeCell ref="H407:H408"/>
    <mergeCell ref="I407:I408"/>
    <mergeCell ref="J407:J408"/>
    <mergeCell ref="H401:H402"/>
    <mergeCell ref="I401:I402"/>
    <mergeCell ref="B389:J389"/>
    <mergeCell ref="B391:J391"/>
    <mergeCell ref="C393:G393"/>
    <mergeCell ref="A394:B395"/>
    <mergeCell ref="C394:C395"/>
    <mergeCell ref="D394:D395"/>
    <mergeCell ref="E394:E395"/>
    <mergeCell ref="F394:F395"/>
    <mergeCell ref="G394:G395"/>
    <mergeCell ref="H394:H395"/>
    <mergeCell ref="I394:I395"/>
    <mergeCell ref="J394:J395"/>
    <mergeCell ref="C400:G400"/>
    <mergeCell ref="A401:B402"/>
    <mergeCell ref="C401:C402"/>
    <mergeCell ref="D401:D402"/>
    <mergeCell ref="A421:B421"/>
    <mergeCell ref="A422:I422"/>
    <mergeCell ref="C424:G424"/>
    <mergeCell ref="A425:B426"/>
    <mergeCell ref="C425:C426"/>
    <mergeCell ref="D425:D426"/>
    <mergeCell ref="E425:E426"/>
    <mergeCell ref="F425:F426"/>
    <mergeCell ref="G425:G426"/>
    <mergeCell ref="H425:H426"/>
    <mergeCell ref="I425:I426"/>
    <mergeCell ref="J413:J414"/>
    <mergeCell ref="A415:B415"/>
    <mergeCell ref="A416:I416"/>
    <mergeCell ref="C418:G418"/>
    <mergeCell ref="A419:B420"/>
    <mergeCell ref="C419:C420"/>
    <mergeCell ref="D419:D420"/>
    <mergeCell ref="E419:E420"/>
    <mergeCell ref="F419:F420"/>
    <mergeCell ref="H419:H420"/>
    <mergeCell ref="I419:I420"/>
    <mergeCell ref="J419:J420"/>
    <mergeCell ref="A413:B414"/>
    <mergeCell ref="C413:C414"/>
    <mergeCell ref="D413:D414"/>
    <mergeCell ref="E413:E414"/>
    <mergeCell ref="F413:F414"/>
    <mergeCell ref="G413:G414"/>
    <mergeCell ref="H413:H414"/>
    <mergeCell ref="I413:I414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J425:J426"/>
    <mergeCell ref="A427:B427"/>
    <mergeCell ref="A428:B428"/>
    <mergeCell ref="A429:I429"/>
    <mergeCell ref="C431:G431"/>
    <mergeCell ref="A432:B433"/>
    <mergeCell ref="C432:C433"/>
    <mergeCell ref="D432:D433"/>
    <mergeCell ref="E432:E433"/>
    <mergeCell ref="F432:F433"/>
    <mergeCell ref="G432:G433"/>
    <mergeCell ref="H432:H433"/>
    <mergeCell ref="I432:I433"/>
    <mergeCell ref="J432:J433"/>
    <mergeCell ref="F456:F457"/>
    <mergeCell ref="G456:G457"/>
    <mergeCell ref="H456:H457"/>
    <mergeCell ref="I456:I457"/>
    <mergeCell ref="J456:J457"/>
    <mergeCell ref="A443:B443"/>
    <mergeCell ref="A444:B444"/>
    <mergeCell ref="A445:B445"/>
    <mergeCell ref="A446:B446"/>
    <mergeCell ref="A447:I447"/>
    <mergeCell ref="C449:G449"/>
    <mergeCell ref="A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A452:B452"/>
    <mergeCell ref="A453:I453"/>
    <mergeCell ref="C455:G455"/>
    <mergeCell ref="A456:B457"/>
    <mergeCell ref="C456:C457"/>
    <mergeCell ref="D456:D457"/>
    <mergeCell ref="E456:E457"/>
    <mergeCell ref="A458:B458"/>
    <mergeCell ref="A459:I459"/>
    <mergeCell ref="C461:G461"/>
    <mergeCell ref="A462:B463"/>
    <mergeCell ref="C462:C463"/>
    <mergeCell ref="D462:D463"/>
    <mergeCell ref="E462:E463"/>
    <mergeCell ref="F462:F463"/>
    <mergeCell ref="G462:G463"/>
    <mergeCell ref="H462:H463"/>
    <mergeCell ref="I462:I463"/>
    <mergeCell ref="C480:C481"/>
    <mergeCell ref="D480:D481"/>
    <mergeCell ref="E480:E481"/>
    <mergeCell ref="F480:F481"/>
    <mergeCell ref="G480:G481"/>
    <mergeCell ref="H480:H481"/>
    <mergeCell ref="I480:I481"/>
    <mergeCell ref="A475:C475"/>
    <mergeCell ref="A474:C474"/>
    <mergeCell ref="A473:C473"/>
    <mergeCell ref="A472:C472"/>
    <mergeCell ref="A471:C471"/>
    <mergeCell ref="A470:C470"/>
    <mergeCell ref="A468:C469"/>
    <mergeCell ref="D468:D469"/>
    <mergeCell ref="E468:E469"/>
    <mergeCell ref="F468:F469"/>
    <mergeCell ref="G468:G469"/>
    <mergeCell ref="H468:H469"/>
    <mergeCell ref="I468:I469"/>
    <mergeCell ref="A490:B490"/>
    <mergeCell ref="A492:I492"/>
    <mergeCell ref="C507:G507"/>
    <mergeCell ref="A508:B509"/>
    <mergeCell ref="C508:C509"/>
    <mergeCell ref="D508:D509"/>
    <mergeCell ref="E508:E509"/>
    <mergeCell ref="F508:F509"/>
    <mergeCell ref="G508:G509"/>
    <mergeCell ref="H508:H509"/>
    <mergeCell ref="I508:I509"/>
    <mergeCell ref="J462:J463"/>
    <mergeCell ref="A464:B464"/>
    <mergeCell ref="A465:I465"/>
    <mergeCell ref="C479:G479"/>
    <mergeCell ref="A480:B481"/>
    <mergeCell ref="C467:G467"/>
    <mergeCell ref="B485:J485"/>
    <mergeCell ref="A486:J486"/>
    <mergeCell ref="C487:G487"/>
    <mergeCell ref="A488:B489"/>
    <mergeCell ref="C488:C489"/>
    <mergeCell ref="D488:D489"/>
    <mergeCell ref="E488:E489"/>
    <mergeCell ref="F488:F489"/>
    <mergeCell ref="G488:G489"/>
    <mergeCell ref="H488:H489"/>
    <mergeCell ref="I488:I489"/>
    <mergeCell ref="J488:J489"/>
    <mergeCell ref="J480:J481"/>
    <mergeCell ref="A482:B482"/>
    <mergeCell ref="C500:G500"/>
    <mergeCell ref="A518:I518"/>
    <mergeCell ref="A491:B491"/>
    <mergeCell ref="B527:J527"/>
    <mergeCell ref="C529:G529"/>
    <mergeCell ref="A530:B531"/>
    <mergeCell ref="C530:C531"/>
    <mergeCell ref="D530:D531"/>
    <mergeCell ref="E530:E531"/>
    <mergeCell ref="F530:F531"/>
    <mergeCell ref="G530:G531"/>
    <mergeCell ref="H530:H531"/>
    <mergeCell ref="I530:I531"/>
    <mergeCell ref="J530:J531"/>
    <mergeCell ref="J508:J509"/>
    <mergeCell ref="A510:B510"/>
    <mergeCell ref="A512:I512"/>
    <mergeCell ref="C514:G514"/>
    <mergeCell ref="A515:B516"/>
    <mergeCell ref="C515:C516"/>
    <mergeCell ref="D515:D516"/>
    <mergeCell ref="E515:E516"/>
    <mergeCell ref="F515:F516"/>
    <mergeCell ref="G515:G516"/>
    <mergeCell ref="H515:H516"/>
    <mergeCell ref="I515:I516"/>
    <mergeCell ref="J515:J516"/>
    <mergeCell ref="A511:B511"/>
    <mergeCell ref="A501:B502"/>
    <mergeCell ref="C501:C502"/>
    <mergeCell ref="D501:D502"/>
    <mergeCell ref="E501:E502"/>
    <mergeCell ref="A538:B538"/>
    <mergeCell ref="A539:I539"/>
    <mergeCell ref="A540:J540"/>
    <mergeCell ref="C541:G541"/>
    <mergeCell ref="A542:B543"/>
    <mergeCell ref="C542:C543"/>
    <mergeCell ref="D542:D543"/>
    <mergeCell ref="E542:E543"/>
    <mergeCell ref="F542:F543"/>
    <mergeCell ref="G542:G543"/>
    <mergeCell ref="H542:H543"/>
    <mergeCell ref="I542:I543"/>
    <mergeCell ref="J542:J543"/>
    <mergeCell ref="A532:B532"/>
    <mergeCell ref="A533:I533"/>
    <mergeCell ref="A534:J534"/>
    <mergeCell ref="C535:G535"/>
    <mergeCell ref="A536:B537"/>
    <mergeCell ref="C536:C537"/>
    <mergeCell ref="D536:D537"/>
    <mergeCell ref="E536:E537"/>
    <mergeCell ref="F536:F537"/>
    <mergeCell ref="G536:G537"/>
    <mergeCell ref="H536:H537"/>
    <mergeCell ref="I536:I537"/>
    <mergeCell ref="J536:J537"/>
    <mergeCell ref="A550:B550"/>
    <mergeCell ref="A551:I551"/>
    <mergeCell ref="A552:J552"/>
    <mergeCell ref="B553:J553"/>
    <mergeCell ref="C555:G555"/>
    <mergeCell ref="A556:B557"/>
    <mergeCell ref="C556:C557"/>
    <mergeCell ref="D556:D557"/>
    <mergeCell ref="E556:E557"/>
    <mergeCell ref="F556:F557"/>
    <mergeCell ref="G556:G557"/>
    <mergeCell ref="H556:H557"/>
    <mergeCell ref="I556:I557"/>
    <mergeCell ref="J556:J557"/>
    <mergeCell ref="A544:B544"/>
    <mergeCell ref="A545:I545"/>
    <mergeCell ref="A546:J546"/>
    <mergeCell ref="C547:G547"/>
    <mergeCell ref="A548:B549"/>
    <mergeCell ref="C548:C549"/>
    <mergeCell ref="D548:D549"/>
    <mergeCell ref="E548:E549"/>
    <mergeCell ref="F548:F549"/>
    <mergeCell ref="G548:G549"/>
    <mergeCell ref="H548:H549"/>
    <mergeCell ref="I548:I549"/>
    <mergeCell ref="J548:J549"/>
    <mergeCell ref="J562:J563"/>
    <mergeCell ref="A564:B564"/>
    <mergeCell ref="A565:I565"/>
    <mergeCell ref="B567:J567"/>
    <mergeCell ref="C569:G569"/>
    <mergeCell ref="A570:B571"/>
    <mergeCell ref="C570:C571"/>
    <mergeCell ref="D570:D571"/>
    <mergeCell ref="E570:E571"/>
    <mergeCell ref="F570:F571"/>
    <mergeCell ref="G570:G571"/>
    <mergeCell ref="H570:H571"/>
    <mergeCell ref="I570:I571"/>
    <mergeCell ref="J570:J571"/>
    <mergeCell ref="A558:B558"/>
    <mergeCell ref="A559:I559"/>
    <mergeCell ref="C561:G561"/>
    <mergeCell ref="A562:B563"/>
    <mergeCell ref="C562:C563"/>
    <mergeCell ref="D562:D563"/>
    <mergeCell ref="E562:E563"/>
    <mergeCell ref="F562:F563"/>
    <mergeCell ref="G562:G563"/>
    <mergeCell ref="H562:H563"/>
    <mergeCell ref="I562:I563"/>
    <mergeCell ref="A581:B581"/>
    <mergeCell ref="A582:B582"/>
    <mergeCell ref="A583:B583"/>
    <mergeCell ref="A584:B584"/>
    <mergeCell ref="A585:B585"/>
    <mergeCell ref="A586:I586"/>
    <mergeCell ref="C588:G588"/>
    <mergeCell ref="A589:B590"/>
    <mergeCell ref="C589:C590"/>
    <mergeCell ref="D589:D590"/>
    <mergeCell ref="E589:E590"/>
    <mergeCell ref="F589:F590"/>
    <mergeCell ref="G589:G590"/>
    <mergeCell ref="H589:H590"/>
    <mergeCell ref="I589:I590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99:B599"/>
    <mergeCell ref="A600:B600"/>
    <mergeCell ref="A601:B601"/>
    <mergeCell ref="A602:B602"/>
    <mergeCell ref="A603:B603"/>
    <mergeCell ref="A604:B604"/>
    <mergeCell ref="A605:I605"/>
    <mergeCell ref="C607:G607"/>
    <mergeCell ref="A608:B609"/>
    <mergeCell ref="C608:C609"/>
    <mergeCell ref="D608:D609"/>
    <mergeCell ref="E608:E609"/>
    <mergeCell ref="F608:F609"/>
    <mergeCell ref="G608:G609"/>
    <mergeCell ref="H608:H609"/>
    <mergeCell ref="I608:I609"/>
    <mergeCell ref="J589:J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616:B616"/>
    <mergeCell ref="A617:I617"/>
    <mergeCell ref="C619:G619"/>
    <mergeCell ref="A620:B621"/>
    <mergeCell ref="C620:C621"/>
    <mergeCell ref="D620:D621"/>
    <mergeCell ref="E620:E621"/>
    <mergeCell ref="F620:F621"/>
    <mergeCell ref="G620:G621"/>
    <mergeCell ref="H620:H621"/>
    <mergeCell ref="I620:I621"/>
    <mergeCell ref="J608:J609"/>
    <mergeCell ref="A610:B610"/>
    <mergeCell ref="A611:I611"/>
    <mergeCell ref="C613:G613"/>
    <mergeCell ref="A614:B615"/>
    <mergeCell ref="C614:C615"/>
    <mergeCell ref="D614:D615"/>
    <mergeCell ref="E614:E615"/>
    <mergeCell ref="F614:F615"/>
    <mergeCell ref="G614:G615"/>
    <mergeCell ref="H614:H615"/>
    <mergeCell ref="I614:I615"/>
    <mergeCell ref="J614:J615"/>
    <mergeCell ref="A628:B628"/>
    <mergeCell ref="A629:B629"/>
    <mergeCell ref="A630:B630"/>
    <mergeCell ref="A631:B631"/>
    <mergeCell ref="A632:I632"/>
    <mergeCell ref="C634:G634"/>
    <mergeCell ref="A635:B636"/>
    <mergeCell ref="C635:C636"/>
    <mergeCell ref="D635:D636"/>
    <mergeCell ref="E635:E636"/>
    <mergeCell ref="F635:F636"/>
    <mergeCell ref="G635:G636"/>
    <mergeCell ref="H635:H636"/>
    <mergeCell ref="I635:I636"/>
    <mergeCell ref="J620:J621"/>
    <mergeCell ref="A622:B622"/>
    <mergeCell ref="A623:I623"/>
    <mergeCell ref="C625:G625"/>
    <mergeCell ref="A626:B627"/>
    <mergeCell ref="C626:C627"/>
    <mergeCell ref="D626:D627"/>
    <mergeCell ref="E626:E627"/>
    <mergeCell ref="F626:F627"/>
    <mergeCell ref="G626:G627"/>
    <mergeCell ref="H626:H627"/>
    <mergeCell ref="I626:I627"/>
    <mergeCell ref="J626:J627"/>
    <mergeCell ref="A645:B645"/>
    <mergeCell ref="A646:I646"/>
    <mergeCell ref="C648:G648"/>
    <mergeCell ref="A649:B650"/>
    <mergeCell ref="C649:C650"/>
    <mergeCell ref="D649:D650"/>
    <mergeCell ref="E649:E650"/>
    <mergeCell ref="F649:F650"/>
    <mergeCell ref="G649:G650"/>
    <mergeCell ref="H649:H650"/>
    <mergeCell ref="I649:I650"/>
    <mergeCell ref="J635:J636"/>
    <mergeCell ref="A637:B637"/>
    <mergeCell ref="A638:I638"/>
    <mergeCell ref="B640:J640"/>
    <mergeCell ref="C642:G642"/>
    <mergeCell ref="A643:B644"/>
    <mergeCell ref="C643:C644"/>
    <mergeCell ref="D643:D644"/>
    <mergeCell ref="E643:E644"/>
    <mergeCell ref="F643:F644"/>
    <mergeCell ref="G643:G644"/>
    <mergeCell ref="H643:H644"/>
    <mergeCell ref="I643:I644"/>
    <mergeCell ref="J643:J644"/>
    <mergeCell ref="A657:B657"/>
    <mergeCell ref="A658:I658"/>
    <mergeCell ref="C660:G660"/>
    <mergeCell ref="A661:B662"/>
    <mergeCell ref="C661:C662"/>
    <mergeCell ref="D661:D662"/>
    <mergeCell ref="E661:E662"/>
    <mergeCell ref="F661:F662"/>
    <mergeCell ref="G661:G662"/>
    <mergeCell ref="H661:H662"/>
    <mergeCell ref="I661:I662"/>
    <mergeCell ref="J649:J650"/>
    <mergeCell ref="A651:B651"/>
    <mergeCell ref="A652:I652"/>
    <mergeCell ref="C654:G654"/>
    <mergeCell ref="A655:B656"/>
    <mergeCell ref="C655:C656"/>
    <mergeCell ref="D655:D656"/>
    <mergeCell ref="E655:E656"/>
    <mergeCell ref="F655:F656"/>
    <mergeCell ref="G655:G656"/>
    <mergeCell ref="H655:H656"/>
    <mergeCell ref="I655:I656"/>
    <mergeCell ref="J655:J656"/>
    <mergeCell ref="A669:B669"/>
    <mergeCell ref="A670:I670"/>
    <mergeCell ref="B672:J672"/>
    <mergeCell ref="B674:J674"/>
    <mergeCell ref="C676:G676"/>
    <mergeCell ref="A677:B678"/>
    <mergeCell ref="C677:C678"/>
    <mergeCell ref="D677:D678"/>
    <mergeCell ref="E677:E678"/>
    <mergeCell ref="F677:F678"/>
    <mergeCell ref="G677:G678"/>
    <mergeCell ref="H677:H678"/>
    <mergeCell ref="I677:I678"/>
    <mergeCell ref="J677:J678"/>
    <mergeCell ref="J661:J662"/>
    <mergeCell ref="A663:B663"/>
    <mergeCell ref="A664:I664"/>
    <mergeCell ref="C666:G666"/>
    <mergeCell ref="A667:B668"/>
    <mergeCell ref="C667:C668"/>
    <mergeCell ref="D667:D668"/>
    <mergeCell ref="E667:E668"/>
    <mergeCell ref="F667:F668"/>
    <mergeCell ref="G667:G668"/>
    <mergeCell ref="H667:H668"/>
    <mergeCell ref="I667:I668"/>
    <mergeCell ref="J667:J668"/>
    <mergeCell ref="J683:J684"/>
    <mergeCell ref="A685:B685"/>
    <mergeCell ref="A686:I686"/>
    <mergeCell ref="B688:J688"/>
    <mergeCell ref="C690:G690"/>
    <mergeCell ref="A691:B692"/>
    <mergeCell ref="C691:C692"/>
    <mergeCell ref="D691:D692"/>
    <mergeCell ref="E691:E692"/>
    <mergeCell ref="F691:F692"/>
    <mergeCell ref="G691:G692"/>
    <mergeCell ref="H691:H692"/>
    <mergeCell ref="I691:I692"/>
    <mergeCell ref="J691:J692"/>
    <mergeCell ref="A679:B679"/>
    <mergeCell ref="A680:I680"/>
    <mergeCell ref="C682:G682"/>
    <mergeCell ref="A683:B684"/>
    <mergeCell ref="C683:C684"/>
    <mergeCell ref="D683:D684"/>
    <mergeCell ref="E683:E684"/>
    <mergeCell ref="F683:F684"/>
    <mergeCell ref="G683:G684"/>
    <mergeCell ref="H683:H684"/>
    <mergeCell ref="I683:I684"/>
    <mergeCell ref="J697:J698"/>
    <mergeCell ref="A699:B699"/>
    <mergeCell ref="A700:I700"/>
    <mergeCell ref="C702:G702"/>
    <mergeCell ref="A703:B704"/>
    <mergeCell ref="C703:C704"/>
    <mergeCell ref="D703:D704"/>
    <mergeCell ref="E703:E704"/>
    <mergeCell ref="F703:F704"/>
    <mergeCell ref="G703:G704"/>
    <mergeCell ref="H703:H704"/>
    <mergeCell ref="I703:I704"/>
    <mergeCell ref="J703:J704"/>
    <mergeCell ref="A693:B693"/>
    <mergeCell ref="A694:I694"/>
    <mergeCell ref="C696:G696"/>
    <mergeCell ref="A697:B698"/>
    <mergeCell ref="C697:C698"/>
    <mergeCell ref="D697:D698"/>
    <mergeCell ref="E697:E698"/>
    <mergeCell ref="F697:F698"/>
    <mergeCell ref="G697:G698"/>
    <mergeCell ref="H697:H698"/>
    <mergeCell ref="I697:I698"/>
    <mergeCell ref="J713:J714"/>
    <mergeCell ref="A715:B715"/>
    <mergeCell ref="A716:I716"/>
    <mergeCell ref="C718:G718"/>
    <mergeCell ref="A719:B720"/>
    <mergeCell ref="C719:C720"/>
    <mergeCell ref="D719:D720"/>
    <mergeCell ref="E719:E720"/>
    <mergeCell ref="F719:F720"/>
    <mergeCell ref="G719:G720"/>
    <mergeCell ref="H719:H720"/>
    <mergeCell ref="I719:I720"/>
    <mergeCell ref="J719:J720"/>
    <mergeCell ref="A705:B705"/>
    <mergeCell ref="A706:B706"/>
    <mergeCell ref="A707:B707"/>
    <mergeCell ref="A708:B708"/>
    <mergeCell ref="A709:B709"/>
    <mergeCell ref="A710:I710"/>
    <mergeCell ref="C712:G712"/>
    <mergeCell ref="A713:B714"/>
    <mergeCell ref="C713:C714"/>
    <mergeCell ref="D713:D714"/>
    <mergeCell ref="E713:E714"/>
    <mergeCell ref="F713:F714"/>
    <mergeCell ref="G713:G714"/>
    <mergeCell ref="H713:H714"/>
    <mergeCell ref="I713:I714"/>
    <mergeCell ref="J728:J729"/>
    <mergeCell ref="A730:B730"/>
    <mergeCell ref="A731:I731"/>
    <mergeCell ref="C733:G733"/>
    <mergeCell ref="A734:B735"/>
    <mergeCell ref="C734:C735"/>
    <mergeCell ref="D734:D735"/>
    <mergeCell ref="E734:E735"/>
    <mergeCell ref="F734:F735"/>
    <mergeCell ref="G734:G735"/>
    <mergeCell ref="H734:H735"/>
    <mergeCell ref="I734:I735"/>
    <mergeCell ref="J734:J735"/>
    <mergeCell ref="A721:B721"/>
    <mergeCell ref="A722:B722"/>
    <mergeCell ref="A723:B723"/>
    <mergeCell ref="A724:B724"/>
    <mergeCell ref="A725:I725"/>
    <mergeCell ref="C727:G727"/>
    <mergeCell ref="A728:B729"/>
    <mergeCell ref="C728:C729"/>
    <mergeCell ref="D728:D729"/>
    <mergeCell ref="E728:E729"/>
    <mergeCell ref="F728:F729"/>
    <mergeCell ref="G728:G729"/>
    <mergeCell ref="H728:H729"/>
    <mergeCell ref="I728:I729"/>
    <mergeCell ref="J740:J741"/>
    <mergeCell ref="A742:B742"/>
    <mergeCell ref="A743:I743"/>
    <mergeCell ref="C745:G745"/>
    <mergeCell ref="A746:B747"/>
    <mergeCell ref="C746:C747"/>
    <mergeCell ref="D746:D747"/>
    <mergeCell ref="A483:I483"/>
    <mergeCell ref="J752:J753"/>
    <mergeCell ref="A754:B754"/>
    <mergeCell ref="A755:I755"/>
    <mergeCell ref="C757:G757"/>
    <mergeCell ref="A758:B759"/>
    <mergeCell ref="C758:C759"/>
    <mergeCell ref="D758:D759"/>
    <mergeCell ref="E758:E759"/>
    <mergeCell ref="F758:F759"/>
    <mergeCell ref="G758:G759"/>
    <mergeCell ref="H758:H759"/>
    <mergeCell ref="I758:I759"/>
    <mergeCell ref="J758:J759"/>
    <mergeCell ref="A752:B753"/>
    <mergeCell ref="C752:C753"/>
    <mergeCell ref="D752:D753"/>
    <mergeCell ref="E746:E747"/>
    <mergeCell ref="F746:F747"/>
    <mergeCell ref="G746:G747"/>
    <mergeCell ref="H746:H747"/>
    <mergeCell ref="I746:I747"/>
    <mergeCell ref="J746:J747"/>
    <mergeCell ref="A736:B736"/>
    <mergeCell ref="A737:I737"/>
    <mergeCell ref="A111:B111"/>
    <mergeCell ref="A112:I112"/>
    <mergeCell ref="A760:B760"/>
    <mergeCell ref="A761:I761"/>
    <mergeCell ref="C763:G763"/>
    <mergeCell ref="A764:B765"/>
    <mergeCell ref="C764:C765"/>
    <mergeCell ref="D764:D765"/>
    <mergeCell ref="E764:E765"/>
    <mergeCell ref="F764:F765"/>
    <mergeCell ref="G764:G765"/>
    <mergeCell ref="H764:H765"/>
    <mergeCell ref="I764:I765"/>
    <mergeCell ref="A138:B138"/>
    <mergeCell ref="A504:B504"/>
    <mergeCell ref="A748:B748"/>
    <mergeCell ref="A749:I749"/>
    <mergeCell ref="C751:G751"/>
    <mergeCell ref="E752:E753"/>
    <mergeCell ref="F752:F753"/>
    <mergeCell ref="G752:G753"/>
    <mergeCell ref="H752:H753"/>
    <mergeCell ref="I752:I753"/>
    <mergeCell ref="C739:G739"/>
    <mergeCell ref="A740:B741"/>
    <mergeCell ref="C740:C741"/>
    <mergeCell ref="D740:D741"/>
    <mergeCell ref="E740:E741"/>
    <mergeCell ref="F740:F741"/>
    <mergeCell ref="G740:G741"/>
    <mergeCell ref="H740:H741"/>
    <mergeCell ref="I740:I741"/>
    <mergeCell ref="C96:G96"/>
    <mergeCell ref="D97:D98"/>
    <mergeCell ref="E97:E98"/>
    <mergeCell ref="G97:G98"/>
    <mergeCell ref="H97:H98"/>
    <mergeCell ref="I97:I98"/>
    <mergeCell ref="J97:J98"/>
    <mergeCell ref="A106:I106"/>
    <mergeCell ref="C108:G108"/>
    <mergeCell ref="A109:B110"/>
    <mergeCell ref="C109:C110"/>
    <mergeCell ref="D109:D110"/>
    <mergeCell ref="E109:E110"/>
    <mergeCell ref="F109:F110"/>
    <mergeCell ref="G109:G110"/>
    <mergeCell ref="H109:H110"/>
    <mergeCell ref="I109:I110"/>
    <mergeCell ref="J109:J110"/>
  </mergeCells>
  <phoneticPr fontId="9" type="noConversion"/>
  <pageMargins left="0.25" right="0.25" top="0.75" bottom="0.75" header="0.3" footer="0.3"/>
  <pageSetup paperSize="9" scale="58" fitToHeight="0" orientation="landscape" r:id="rId1"/>
  <headerFooter>
    <oddFooter>Página &amp;P de &amp;N</oddFooter>
  </headerFooter>
  <rowBreaks count="16" manualBreakCount="16">
    <brk id="83" max="9" man="1"/>
    <brk id="146" max="9" man="1"/>
    <brk id="180" max="9" man="1"/>
    <brk id="220" max="9" man="1"/>
    <brk id="291" max="9" man="1"/>
    <brk id="364" max="9" man="1"/>
    <brk id="399" max="9" man="1"/>
    <brk id="430" max="9" man="1"/>
    <brk id="466" max="9" man="1"/>
    <brk id="493" max="9" man="1"/>
    <brk id="526" max="9" man="1"/>
    <brk id="560" max="9" man="1"/>
    <brk id="601" max="9" man="1"/>
    <brk id="639" max="9" man="1"/>
    <brk id="671" max="9" man="1"/>
    <brk id="74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699"/>
  <sheetViews>
    <sheetView view="pageBreakPreview" topLeftCell="B121" zoomScaleNormal="100" zoomScaleSheetLayoutView="100" workbookViewId="0">
      <selection activeCell="C57" sqref="C57"/>
    </sheetView>
  </sheetViews>
  <sheetFormatPr defaultColWidth="8.85546875" defaultRowHeight="12.75" x14ac:dyDescent="0.2"/>
  <cols>
    <col min="1" max="1" width="8.85546875" style="35"/>
    <col min="2" max="2" width="7.7109375" style="35" customWidth="1"/>
    <col min="3" max="3" width="9" style="35" customWidth="1"/>
    <col min="4" max="4" width="10.7109375" style="35" bestFit="1" customWidth="1"/>
    <col min="5" max="5" width="75.7109375" style="35" customWidth="1"/>
    <col min="6" max="6" width="8.85546875" style="35"/>
    <col min="7" max="7" width="12.28515625" style="35" customWidth="1"/>
    <col min="8" max="9" width="12.28515625" style="42" customWidth="1"/>
    <col min="10" max="10" width="12.7109375" style="42" customWidth="1"/>
    <col min="11" max="11" width="12.7109375" style="35" customWidth="1"/>
    <col min="12" max="12" width="8.85546875" style="35"/>
    <col min="13" max="13" width="10.140625" style="35" bestFit="1" customWidth="1"/>
    <col min="14" max="16384" width="8.85546875" style="35"/>
  </cols>
  <sheetData>
    <row r="1" spans="2:11" s="18" customFormat="1" ht="45" customHeight="1" thickBot="1" x14ac:dyDescent="0.25">
      <c r="B1" s="299" t="s">
        <v>26</v>
      </c>
      <c r="C1" s="300"/>
      <c r="D1" s="300"/>
      <c r="E1" s="300"/>
      <c r="F1" s="300"/>
      <c r="G1" s="300"/>
      <c r="H1" s="300"/>
      <c r="I1" s="300"/>
      <c r="J1" s="300"/>
      <c r="K1" s="301"/>
    </row>
    <row r="2" spans="2:11" s="18" customFormat="1" ht="20.100000000000001" customHeight="1" x14ac:dyDescent="0.2">
      <c r="B2" s="352" t="s">
        <v>158</v>
      </c>
      <c r="C2" s="353"/>
      <c r="D2" s="353"/>
      <c r="E2" s="353"/>
      <c r="F2" s="353"/>
      <c r="G2" s="353"/>
      <c r="H2" s="354"/>
      <c r="I2" s="347" t="s">
        <v>47</v>
      </c>
      <c r="J2" s="348"/>
      <c r="K2" s="349"/>
    </row>
    <row r="3" spans="2:11" s="18" customFormat="1" ht="20.100000000000001" customHeight="1" x14ac:dyDescent="0.2">
      <c r="B3" s="352" t="s">
        <v>430</v>
      </c>
      <c r="C3" s="353"/>
      <c r="D3" s="353"/>
      <c r="E3" s="353"/>
      <c r="F3" s="353"/>
      <c r="G3" s="353"/>
      <c r="H3" s="354"/>
      <c r="I3" s="52" t="s">
        <v>27</v>
      </c>
      <c r="J3" s="350">
        <v>45918</v>
      </c>
      <c r="K3" s="351"/>
    </row>
    <row r="4" spans="2:11" s="18" customFormat="1" ht="20.100000000000001" customHeight="1" x14ac:dyDescent="0.2">
      <c r="B4" s="352" t="s">
        <v>417</v>
      </c>
      <c r="C4" s="353"/>
      <c r="D4" s="353"/>
      <c r="E4" s="353"/>
      <c r="F4" s="354"/>
      <c r="G4" s="362" t="s">
        <v>28</v>
      </c>
      <c r="H4" s="364" t="s">
        <v>49</v>
      </c>
      <c r="I4" s="365"/>
      <c r="J4" s="355" t="s">
        <v>29</v>
      </c>
      <c r="K4" s="357">
        <f>[1]BDI!K10</f>
        <v>0.29792218248733837</v>
      </c>
    </row>
    <row r="5" spans="2:11" s="18" customFormat="1" ht="26.1" customHeight="1" x14ac:dyDescent="0.2">
      <c r="B5" s="359" t="s">
        <v>418</v>
      </c>
      <c r="C5" s="360"/>
      <c r="D5" s="360"/>
      <c r="E5" s="360"/>
      <c r="F5" s="361"/>
      <c r="G5" s="363"/>
      <c r="H5" s="366" t="s">
        <v>48</v>
      </c>
      <c r="I5" s="367"/>
      <c r="J5" s="356"/>
      <c r="K5" s="358"/>
    </row>
    <row r="6" spans="2:11" s="18" customFormat="1" ht="38.25" x14ac:dyDescent="0.2">
      <c r="B6" s="142" t="s">
        <v>10</v>
      </c>
      <c r="C6" s="45" t="s">
        <v>13</v>
      </c>
      <c r="D6" s="45" t="s">
        <v>11</v>
      </c>
      <c r="E6" s="45" t="s">
        <v>12</v>
      </c>
      <c r="F6" s="45" t="s">
        <v>30</v>
      </c>
      <c r="G6" s="45" t="s">
        <v>31</v>
      </c>
      <c r="H6" s="46" t="s">
        <v>32</v>
      </c>
      <c r="I6" s="46" t="s">
        <v>33</v>
      </c>
      <c r="J6" s="46" t="s">
        <v>46</v>
      </c>
      <c r="K6" s="143" t="s">
        <v>45</v>
      </c>
    </row>
    <row r="7" spans="2:11" s="18" customFormat="1" ht="18" customHeight="1" x14ac:dyDescent="0.2">
      <c r="B7" s="325" t="s">
        <v>122</v>
      </c>
      <c r="C7" s="326"/>
      <c r="D7" s="326"/>
      <c r="E7" s="326"/>
      <c r="F7" s="326"/>
      <c r="G7" s="326"/>
      <c r="H7" s="326"/>
      <c r="I7" s="327"/>
      <c r="J7" s="62">
        <f>J8+J10+J69</f>
        <v>167279.65</v>
      </c>
      <c r="K7" s="144">
        <f>K8+K10+K69</f>
        <v>217716.40000000002</v>
      </c>
    </row>
    <row r="8" spans="2:11" s="18" customFormat="1" ht="18" customHeight="1" x14ac:dyDescent="0.2">
      <c r="B8" s="145">
        <v>1</v>
      </c>
      <c r="C8" s="334" t="s">
        <v>35</v>
      </c>
      <c r="D8" s="334"/>
      <c r="E8" s="334"/>
      <c r="F8" s="334"/>
      <c r="G8" s="334"/>
      <c r="H8" s="334"/>
      <c r="I8" s="334"/>
      <c r="J8" s="94">
        <f>ROUND(SUM(J9:J9),2)</f>
        <v>1130.67</v>
      </c>
      <c r="K8" s="146">
        <f>ROUND(SUM(K9:K9),2)</f>
        <v>1467.52</v>
      </c>
    </row>
    <row r="9" spans="2:11" s="18" customFormat="1" ht="67.150000000000006" customHeight="1" x14ac:dyDescent="0.2">
      <c r="B9" s="147" t="s">
        <v>6</v>
      </c>
      <c r="C9" s="29" t="s">
        <v>14</v>
      </c>
      <c r="D9" s="30" t="s">
        <v>123</v>
      </c>
      <c r="E9" s="31" t="s">
        <v>124</v>
      </c>
      <c r="F9" s="32" t="s">
        <v>63</v>
      </c>
      <c r="G9" s="89">
        <f>VLOOKUP(B9,MC!A:J,10,FALSE)</f>
        <v>1</v>
      </c>
      <c r="H9" s="33">
        <v>1130.67</v>
      </c>
      <c r="I9" s="34">
        <f>ROUND(H9+(H9*$K$4),2)</f>
        <v>1467.52</v>
      </c>
      <c r="J9" s="34">
        <f>ROUND((G9*H9),2)</f>
        <v>1130.67</v>
      </c>
      <c r="K9" s="148">
        <f>ROUND((G9*I9),2)</f>
        <v>1467.52</v>
      </c>
    </row>
    <row r="10" spans="2:11" s="18" customFormat="1" ht="18" customHeight="1" x14ac:dyDescent="0.2">
      <c r="B10" s="145">
        <v>2</v>
      </c>
      <c r="C10" s="334" t="s">
        <v>159</v>
      </c>
      <c r="D10" s="334"/>
      <c r="E10" s="334"/>
      <c r="F10" s="334"/>
      <c r="G10" s="334"/>
      <c r="H10" s="334"/>
      <c r="I10" s="334"/>
      <c r="J10" s="94">
        <f>ROUND(SUM(J11,J24,J30,J35,J38,J46,J52),2)</f>
        <v>93457.8</v>
      </c>
      <c r="K10" s="146">
        <f>ROUND(SUM(K11,K24,K30,K35,K38,K46,K52),2)</f>
        <v>121592.36</v>
      </c>
    </row>
    <row r="11" spans="2:11" s="18" customFormat="1" x14ac:dyDescent="0.2">
      <c r="B11" s="149" t="s">
        <v>185</v>
      </c>
      <c r="C11" s="328" t="s">
        <v>104</v>
      </c>
      <c r="D11" s="329"/>
      <c r="E11" s="329"/>
      <c r="F11" s="329"/>
      <c r="G11" s="329"/>
      <c r="H11" s="329"/>
      <c r="I11" s="330"/>
      <c r="J11" s="88">
        <f>ROUND(SUM(J12:J21),2)</f>
        <v>4352.7</v>
      </c>
      <c r="K11" s="150">
        <f>ROUND(SUM(K12:K23),2)</f>
        <v>5942.63</v>
      </c>
    </row>
    <row r="12" spans="2:11" s="18" customFormat="1" ht="38.25" x14ac:dyDescent="0.2">
      <c r="B12" s="147" t="s">
        <v>186</v>
      </c>
      <c r="C12" s="29" t="s">
        <v>14</v>
      </c>
      <c r="D12" s="30" t="s">
        <v>125</v>
      </c>
      <c r="E12" s="31" t="s">
        <v>126</v>
      </c>
      <c r="F12" s="32" t="s">
        <v>155</v>
      </c>
      <c r="G12" s="89">
        <f>VLOOKUP(B12,MC!A:J,10,FALSE)</f>
        <v>14.45</v>
      </c>
      <c r="H12" s="33">
        <v>109.09</v>
      </c>
      <c r="I12" s="34">
        <f t="shared" ref="I12" si="0">ROUND(H12+(H12*$K$4),2)</f>
        <v>141.59</v>
      </c>
      <c r="J12" s="34">
        <f t="shared" ref="J12" si="1">ROUND((G12*H12),2)</f>
        <v>1576.35</v>
      </c>
      <c r="K12" s="148">
        <f t="shared" ref="K12" si="2">ROUND((G12*I12),2)</f>
        <v>2045.98</v>
      </c>
    </row>
    <row r="13" spans="2:11" s="18" customFormat="1" ht="38.25" x14ac:dyDescent="0.2">
      <c r="B13" s="147" t="s">
        <v>187</v>
      </c>
      <c r="C13" s="29" t="s">
        <v>14</v>
      </c>
      <c r="D13" s="30" t="s">
        <v>127</v>
      </c>
      <c r="E13" s="31" t="s">
        <v>128</v>
      </c>
      <c r="F13" s="32" t="s">
        <v>156</v>
      </c>
      <c r="G13" s="89">
        <f>VLOOKUP(B13,MC!A:J,10,FALSE)</f>
        <v>51.6</v>
      </c>
      <c r="H13" s="33">
        <v>10.34</v>
      </c>
      <c r="I13" s="34">
        <f t="shared" ref="I13:I19" si="3">ROUND(H13+(H13*$K$4),2)</f>
        <v>13.42</v>
      </c>
      <c r="J13" s="34">
        <f t="shared" ref="J13:J19" si="4">ROUND((G13*H13),2)</f>
        <v>533.54</v>
      </c>
      <c r="K13" s="148">
        <f t="shared" ref="K13:K19" si="5">ROUND((G13*I13),2)</f>
        <v>692.47</v>
      </c>
    </row>
    <row r="14" spans="2:11" s="18" customFormat="1" ht="25.5" x14ac:dyDescent="0.2">
      <c r="B14" s="147" t="s">
        <v>188</v>
      </c>
      <c r="C14" s="29" t="s">
        <v>15</v>
      </c>
      <c r="D14" s="30" t="s">
        <v>129</v>
      </c>
      <c r="E14" s="31" t="s">
        <v>130</v>
      </c>
      <c r="F14" s="32" t="s">
        <v>157</v>
      </c>
      <c r="G14" s="89">
        <f>VLOOKUP(B14,MC!A:J,10,FALSE)</f>
        <v>4.8</v>
      </c>
      <c r="H14" s="33">
        <v>24.62</v>
      </c>
      <c r="I14" s="34">
        <f t="shared" si="3"/>
        <v>31.95</v>
      </c>
      <c r="J14" s="34">
        <f t="shared" si="4"/>
        <v>118.18</v>
      </c>
      <c r="K14" s="148">
        <f t="shared" si="5"/>
        <v>153.36000000000001</v>
      </c>
    </row>
    <row r="15" spans="2:11" s="18" customFormat="1" ht="25.5" x14ac:dyDescent="0.2">
      <c r="B15" s="147" t="s">
        <v>189</v>
      </c>
      <c r="C15" s="29" t="s">
        <v>15</v>
      </c>
      <c r="D15" s="30" t="s">
        <v>131</v>
      </c>
      <c r="E15" s="31" t="s">
        <v>132</v>
      </c>
      <c r="F15" s="32" t="s">
        <v>157</v>
      </c>
      <c r="G15" s="89">
        <f>VLOOKUP(B15,MC!A:J,10,FALSE)</f>
        <v>2.58</v>
      </c>
      <c r="H15" s="33">
        <v>9.5299999999999994</v>
      </c>
      <c r="I15" s="34">
        <f t="shared" si="3"/>
        <v>12.37</v>
      </c>
      <c r="J15" s="34">
        <f t="shared" si="4"/>
        <v>24.59</v>
      </c>
      <c r="K15" s="148">
        <f t="shared" si="5"/>
        <v>31.91</v>
      </c>
    </row>
    <row r="16" spans="2:11" s="18" customFormat="1" ht="25.5" x14ac:dyDescent="0.2">
      <c r="B16" s="147" t="s">
        <v>190</v>
      </c>
      <c r="C16" s="29" t="s">
        <v>15</v>
      </c>
      <c r="D16" s="30" t="s">
        <v>160</v>
      </c>
      <c r="E16" s="31" t="s">
        <v>161</v>
      </c>
      <c r="F16" s="32" t="s">
        <v>162</v>
      </c>
      <c r="G16" s="89">
        <f>VLOOKUP(B16,MC!A:J,10,FALSE)</f>
        <v>2.08</v>
      </c>
      <c r="H16" s="33">
        <v>197.27</v>
      </c>
      <c r="I16" s="34">
        <f t="shared" ref="I16" si="6">ROUND(H16+(H16*$K$4),2)</f>
        <v>256.04000000000002</v>
      </c>
      <c r="J16" s="34">
        <f t="shared" ref="J16" si="7">ROUND((G16*H16),2)</f>
        <v>410.32</v>
      </c>
      <c r="K16" s="148">
        <f t="shared" ref="K16" si="8">ROUND((G16*I16),2)</f>
        <v>532.55999999999995</v>
      </c>
    </row>
    <row r="17" spans="2:11" s="18" customFormat="1" ht="25.5" x14ac:dyDescent="0.2">
      <c r="B17" s="147" t="s">
        <v>191</v>
      </c>
      <c r="C17" s="29" t="s">
        <v>14</v>
      </c>
      <c r="D17" s="30" t="s">
        <v>165</v>
      </c>
      <c r="E17" s="31" t="s">
        <v>166</v>
      </c>
      <c r="F17" s="32" t="s">
        <v>156</v>
      </c>
      <c r="G17" s="89">
        <f>VLOOKUP(B17,MC!A:J,10,FALSE)</f>
        <v>22.96</v>
      </c>
      <c r="H17" s="33">
        <v>5.43</v>
      </c>
      <c r="I17" s="34">
        <f t="shared" si="3"/>
        <v>7.05</v>
      </c>
      <c r="J17" s="34">
        <f t="shared" si="4"/>
        <v>124.67</v>
      </c>
      <c r="K17" s="148">
        <f t="shared" si="5"/>
        <v>161.87</v>
      </c>
    </row>
    <row r="18" spans="2:11" s="18" customFormat="1" x14ac:dyDescent="0.2">
      <c r="B18" s="147" t="s">
        <v>192</v>
      </c>
      <c r="C18" s="29" t="s">
        <v>14</v>
      </c>
      <c r="D18" s="30" t="s">
        <v>167</v>
      </c>
      <c r="E18" s="31" t="s">
        <v>168</v>
      </c>
      <c r="F18" s="32" t="s">
        <v>156</v>
      </c>
      <c r="G18" s="89">
        <f>VLOOKUP(B18,MC!A:J,10,FALSE)</f>
        <v>350.68</v>
      </c>
      <c r="H18" s="33">
        <v>3.13</v>
      </c>
      <c r="I18" s="34">
        <f t="shared" si="3"/>
        <v>4.0599999999999996</v>
      </c>
      <c r="J18" s="34">
        <f t="shared" si="4"/>
        <v>1097.6300000000001</v>
      </c>
      <c r="K18" s="148">
        <f t="shared" si="5"/>
        <v>1423.76</v>
      </c>
    </row>
    <row r="19" spans="2:11" s="18" customFormat="1" x14ac:dyDescent="0.2">
      <c r="B19" s="147" t="s">
        <v>193</v>
      </c>
      <c r="C19" s="29" t="s">
        <v>14</v>
      </c>
      <c r="D19" s="30" t="s">
        <v>169</v>
      </c>
      <c r="E19" s="31" t="s">
        <v>170</v>
      </c>
      <c r="F19" s="32" t="s">
        <v>156</v>
      </c>
      <c r="G19" s="89">
        <f>VLOOKUP(B19,MC!A:J,10,FALSE)</f>
        <v>35.9</v>
      </c>
      <c r="H19" s="33">
        <v>3.55</v>
      </c>
      <c r="I19" s="34">
        <f t="shared" si="3"/>
        <v>4.6100000000000003</v>
      </c>
      <c r="J19" s="34">
        <f t="shared" si="4"/>
        <v>127.45</v>
      </c>
      <c r="K19" s="148">
        <f t="shared" si="5"/>
        <v>165.5</v>
      </c>
    </row>
    <row r="20" spans="2:11" s="18" customFormat="1" ht="25.5" x14ac:dyDescent="0.2">
      <c r="B20" s="147" t="s">
        <v>194</v>
      </c>
      <c r="C20" s="29" t="s">
        <v>15</v>
      </c>
      <c r="D20" s="30" t="s">
        <v>133</v>
      </c>
      <c r="E20" s="31" t="s">
        <v>134</v>
      </c>
      <c r="F20" s="32" t="s">
        <v>157</v>
      </c>
      <c r="G20" s="89">
        <f>VLOOKUP(B20,MC!A:J,10,FALSE)</f>
        <v>54.67</v>
      </c>
      <c r="H20" s="33">
        <v>3.54</v>
      </c>
      <c r="I20" s="34">
        <f>ROUND(H20+(H20*$K$4),2)</f>
        <v>4.59</v>
      </c>
      <c r="J20" s="34">
        <f>ROUND((G20*H20),2)</f>
        <v>193.53</v>
      </c>
      <c r="K20" s="148">
        <f>ROUND((G20*I20),2)</f>
        <v>250.94</v>
      </c>
    </row>
    <row r="21" spans="2:11" s="18" customFormat="1" ht="38.25" x14ac:dyDescent="0.2">
      <c r="B21" s="147" t="s">
        <v>195</v>
      </c>
      <c r="C21" s="29" t="s">
        <v>14</v>
      </c>
      <c r="D21" s="30" t="s">
        <v>163</v>
      </c>
      <c r="E21" s="31" t="s">
        <v>164</v>
      </c>
      <c r="F21" s="32" t="s">
        <v>155</v>
      </c>
      <c r="G21" s="89">
        <f>VLOOKUP(B21,MC!A:J,10,FALSE)</f>
        <v>3.5</v>
      </c>
      <c r="H21" s="33">
        <v>41.84</v>
      </c>
      <c r="I21" s="34">
        <f>ROUND(H21+(H21*$K$4),2)</f>
        <v>54.31</v>
      </c>
      <c r="J21" s="34">
        <f>ROUND((G21*H21),2)</f>
        <v>146.44</v>
      </c>
      <c r="K21" s="148">
        <f>ROUND((G21*I21),2)</f>
        <v>190.09</v>
      </c>
    </row>
    <row r="22" spans="2:11" s="18" customFormat="1" ht="38.25" x14ac:dyDescent="0.2">
      <c r="B22" s="147" t="s">
        <v>436</v>
      </c>
      <c r="C22" s="29" t="s">
        <v>15</v>
      </c>
      <c r="D22" s="30" t="s">
        <v>440</v>
      </c>
      <c r="E22" s="31" t="s">
        <v>438</v>
      </c>
      <c r="F22" s="32" t="s">
        <v>162</v>
      </c>
      <c r="G22" s="89">
        <f>VLOOKUP(B22,MC!A:J,10,FALSE)</f>
        <v>23.81</v>
      </c>
      <c r="H22" s="33">
        <v>9.1199999999999992</v>
      </c>
      <c r="I22" s="34">
        <f t="shared" ref="I22:I23" si="9">ROUND(H22+(H22*$K$4),2)</f>
        <v>11.84</v>
      </c>
      <c r="J22" s="34">
        <f t="shared" ref="J22:J23" si="10">ROUND((G22*H22),2)</f>
        <v>217.15</v>
      </c>
      <c r="K22" s="148">
        <f t="shared" ref="K22:K23" si="11">ROUND((G22*I22),2)</f>
        <v>281.91000000000003</v>
      </c>
    </row>
    <row r="23" spans="2:11" s="18" customFormat="1" ht="38.25" x14ac:dyDescent="0.2">
      <c r="B23" s="147" t="s">
        <v>437</v>
      </c>
      <c r="C23" s="29" t="s">
        <v>14</v>
      </c>
      <c r="D23" s="30" t="s">
        <v>441</v>
      </c>
      <c r="E23" s="31" t="s">
        <v>439</v>
      </c>
      <c r="F23" s="32" t="s">
        <v>444</v>
      </c>
      <c r="G23" s="89">
        <f>VLOOKUP(B23,MC!A:J,10,FALSE)</f>
        <v>3.6</v>
      </c>
      <c r="H23" s="33">
        <v>2.63</v>
      </c>
      <c r="I23" s="34">
        <f t="shared" si="9"/>
        <v>3.41</v>
      </c>
      <c r="J23" s="34">
        <f t="shared" si="10"/>
        <v>9.4700000000000006</v>
      </c>
      <c r="K23" s="148">
        <f t="shared" si="11"/>
        <v>12.28</v>
      </c>
    </row>
    <row r="24" spans="2:11" s="18" customFormat="1" x14ac:dyDescent="0.2">
      <c r="B24" s="149" t="s">
        <v>196</v>
      </c>
      <c r="C24" s="328" t="s">
        <v>105</v>
      </c>
      <c r="D24" s="329"/>
      <c r="E24" s="329"/>
      <c r="F24" s="329"/>
      <c r="G24" s="329"/>
      <c r="H24" s="329"/>
      <c r="I24" s="330"/>
      <c r="J24" s="88">
        <f>ROUND(SUM(J25:J29),2)</f>
        <v>23425.8</v>
      </c>
      <c r="K24" s="150">
        <f>ROUND(SUM(K25:K29),2)</f>
        <v>30404.16</v>
      </c>
    </row>
    <row r="25" spans="2:11" s="18" customFormat="1" ht="38.25" x14ac:dyDescent="0.2">
      <c r="B25" s="147" t="s">
        <v>197</v>
      </c>
      <c r="C25" s="29" t="s">
        <v>15</v>
      </c>
      <c r="D25" s="30" t="s">
        <v>135</v>
      </c>
      <c r="E25" s="31" t="s">
        <v>136</v>
      </c>
      <c r="F25" s="32" t="s">
        <v>157</v>
      </c>
      <c r="G25" s="89">
        <f>VLOOKUP(B25,MC!A:J,10,FALSE)</f>
        <v>72.260000000000005</v>
      </c>
      <c r="H25" s="33">
        <v>165.02</v>
      </c>
      <c r="I25" s="34">
        <f t="shared" ref="I25" si="12">ROUND(H25+(H25*$K$4),2)</f>
        <v>214.18</v>
      </c>
      <c r="J25" s="34">
        <f t="shared" ref="J25" si="13">ROUND((G25*H25),2)</f>
        <v>11924.35</v>
      </c>
      <c r="K25" s="148">
        <f t="shared" ref="K25" si="14">ROUND((G25*I25),2)</f>
        <v>15476.65</v>
      </c>
    </row>
    <row r="26" spans="2:11" s="18" customFormat="1" ht="38.25" x14ac:dyDescent="0.2">
      <c r="B26" s="147" t="s">
        <v>198</v>
      </c>
      <c r="C26" s="29" t="s">
        <v>15</v>
      </c>
      <c r="D26" s="30" t="s">
        <v>137</v>
      </c>
      <c r="E26" s="31" t="s">
        <v>138</v>
      </c>
      <c r="F26" s="32" t="s">
        <v>157</v>
      </c>
      <c r="G26" s="89">
        <f>VLOOKUP(B26,MC!A:J,10,FALSE)</f>
        <v>205.04</v>
      </c>
      <c r="H26" s="33">
        <v>8.34</v>
      </c>
      <c r="I26" s="34">
        <f t="shared" ref="I26:I27" si="15">ROUND(H26+(H26*$K$4),2)</f>
        <v>10.82</v>
      </c>
      <c r="J26" s="34">
        <f t="shared" ref="J26:J27" si="16">ROUND((G26*H26),2)</f>
        <v>1710.03</v>
      </c>
      <c r="K26" s="148">
        <f t="shared" ref="K26:K27" si="17">ROUND((G26*I26),2)</f>
        <v>2218.5300000000002</v>
      </c>
    </row>
    <row r="27" spans="2:11" s="18" customFormat="1" ht="38.25" x14ac:dyDescent="0.2">
      <c r="B27" s="147" t="s">
        <v>199</v>
      </c>
      <c r="C27" s="29" t="s">
        <v>14</v>
      </c>
      <c r="D27" s="30" t="s">
        <v>139</v>
      </c>
      <c r="E27" s="31" t="s">
        <v>140</v>
      </c>
      <c r="F27" s="32" t="s">
        <v>156</v>
      </c>
      <c r="G27" s="89">
        <f>VLOOKUP(B27,MC!A:J,10,FALSE)</f>
        <v>51.6</v>
      </c>
      <c r="H27" s="33">
        <v>36.590000000000003</v>
      </c>
      <c r="I27" s="34">
        <f t="shared" si="15"/>
        <v>47.49</v>
      </c>
      <c r="J27" s="34">
        <f t="shared" si="16"/>
        <v>1888.04</v>
      </c>
      <c r="K27" s="148">
        <f t="shared" si="17"/>
        <v>2450.48</v>
      </c>
    </row>
    <row r="28" spans="2:11" s="18" customFormat="1" ht="38.25" x14ac:dyDescent="0.2">
      <c r="B28" s="147" t="s">
        <v>200</v>
      </c>
      <c r="C28" s="29" t="s">
        <v>14</v>
      </c>
      <c r="D28" s="30" t="s">
        <v>443</v>
      </c>
      <c r="E28" s="31" t="s">
        <v>442</v>
      </c>
      <c r="F28" s="32" t="s">
        <v>157</v>
      </c>
      <c r="G28" s="89">
        <f>VLOOKUP(B28,MC!A:J,10,FALSE)</f>
        <v>153.44</v>
      </c>
      <c r="H28" s="33">
        <v>50.74</v>
      </c>
      <c r="I28" s="34">
        <f t="shared" ref="I28" si="18">ROUND(H28+(H28*$K$4),2)</f>
        <v>65.86</v>
      </c>
      <c r="J28" s="34">
        <f t="shared" ref="J28" si="19">ROUND((G28*H28),2)</f>
        <v>7785.55</v>
      </c>
      <c r="K28" s="148">
        <f t="shared" ref="K28" si="20">ROUND((G28*I28),2)</f>
        <v>10105.56</v>
      </c>
    </row>
    <row r="29" spans="2:11" s="18" customFormat="1" ht="38.25" x14ac:dyDescent="0.2">
      <c r="B29" s="147" t="s">
        <v>338</v>
      </c>
      <c r="C29" s="29" t="s">
        <v>15</v>
      </c>
      <c r="D29" s="30" t="s">
        <v>429</v>
      </c>
      <c r="E29" s="31" t="s">
        <v>428</v>
      </c>
      <c r="F29" s="32" t="s">
        <v>162</v>
      </c>
      <c r="G29" s="89">
        <f>VLOOKUP(B29,MC!A:J,10,FALSE)</f>
        <v>0.14000000000000001</v>
      </c>
      <c r="H29" s="33">
        <v>841.65</v>
      </c>
      <c r="I29" s="34">
        <f t="shared" ref="I29" si="21">ROUND(H29+(H29*$K$4),2)</f>
        <v>1092.4000000000001</v>
      </c>
      <c r="J29" s="34">
        <f t="shared" ref="J29" si="22">ROUND((G29*H29),2)</f>
        <v>117.83</v>
      </c>
      <c r="K29" s="148">
        <f t="shared" ref="K29" si="23">ROUND((G29*I29),2)</f>
        <v>152.94</v>
      </c>
    </row>
    <row r="30" spans="2:11" s="18" customFormat="1" x14ac:dyDescent="0.2">
      <c r="B30" s="149" t="s">
        <v>201</v>
      </c>
      <c r="C30" s="328" t="s">
        <v>106</v>
      </c>
      <c r="D30" s="329"/>
      <c r="E30" s="329"/>
      <c r="F30" s="329"/>
      <c r="G30" s="329"/>
      <c r="H30" s="329"/>
      <c r="I30" s="330"/>
      <c r="J30" s="88">
        <f>ROUND(SUM(J31:J34),2)</f>
        <v>4453.76</v>
      </c>
      <c r="K30" s="150">
        <f>ROUND(SUM(K31:K34),2)</f>
        <v>5780.64</v>
      </c>
    </row>
    <row r="31" spans="2:11" s="18" customFormat="1" ht="51" x14ac:dyDescent="0.2">
      <c r="B31" s="147" t="s">
        <v>202</v>
      </c>
      <c r="C31" s="47" t="s">
        <v>14</v>
      </c>
      <c r="D31" s="48" t="s">
        <v>141</v>
      </c>
      <c r="E31" s="49" t="s">
        <v>142</v>
      </c>
      <c r="F31" s="50" t="s">
        <v>156</v>
      </c>
      <c r="G31" s="89">
        <f>VLOOKUP(B31,MC!A:J,10,FALSE)</f>
        <v>2.58</v>
      </c>
      <c r="H31" s="34">
        <v>413.62</v>
      </c>
      <c r="I31" s="34">
        <f t="shared" ref="I31" si="24">ROUND(H31+(H31*$K$4),2)</f>
        <v>536.85</v>
      </c>
      <c r="J31" s="34">
        <f t="shared" ref="J31" si="25">ROUND((G31*H31),2)</f>
        <v>1067.1400000000001</v>
      </c>
      <c r="K31" s="148">
        <f t="shared" ref="K31" si="26">ROUND((G31*I31),2)</f>
        <v>1385.07</v>
      </c>
    </row>
    <row r="32" spans="2:11" s="18" customFormat="1" ht="76.5" x14ac:dyDescent="0.2">
      <c r="B32" s="147" t="s">
        <v>203</v>
      </c>
      <c r="C32" s="47" t="s">
        <v>14</v>
      </c>
      <c r="D32" s="48" t="s">
        <v>143</v>
      </c>
      <c r="E32" s="49" t="s">
        <v>144</v>
      </c>
      <c r="F32" s="50" t="s">
        <v>63</v>
      </c>
      <c r="G32" s="89">
        <f>VLOOKUP(B32,MC!A:J,10,FALSE)</f>
        <v>1</v>
      </c>
      <c r="H32" s="34">
        <v>140.75</v>
      </c>
      <c r="I32" s="34">
        <f t="shared" ref="I32:I34" si="27">ROUND(H32+(H32*$K$4),2)</f>
        <v>182.68</v>
      </c>
      <c r="J32" s="34">
        <f t="shared" ref="J32:J34" si="28">ROUND((G32*H32),2)</f>
        <v>140.75</v>
      </c>
      <c r="K32" s="148">
        <f t="shared" ref="K32:K34" si="29">ROUND((G32*I32),2)</f>
        <v>182.68</v>
      </c>
    </row>
    <row r="33" spans="2:11" s="18" customFormat="1" ht="25.5" x14ac:dyDescent="0.2">
      <c r="B33" s="147" t="s">
        <v>204</v>
      </c>
      <c r="C33" s="47" t="s">
        <v>14</v>
      </c>
      <c r="D33" s="48" t="s">
        <v>322</v>
      </c>
      <c r="E33" s="49" t="s">
        <v>321</v>
      </c>
      <c r="F33" s="50" t="s">
        <v>156</v>
      </c>
      <c r="G33" s="89">
        <f>VLOOKUP(B33,MC!A:J,10,FALSE)</f>
        <v>4.8</v>
      </c>
      <c r="H33" s="34">
        <v>533.15</v>
      </c>
      <c r="I33" s="34">
        <f t="shared" si="27"/>
        <v>691.99</v>
      </c>
      <c r="J33" s="34">
        <f t="shared" si="28"/>
        <v>2559.12</v>
      </c>
      <c r="K33" s="148">
        <f t="shared" si="29"/>
        <v>3321.55</v>
      </c>
    </row>
    <row r="34" spans="2:11" s="18" customFormat="1" ht="25.5" x14ac:dyDescent="0.2">
      <c r="B34" s="147" t="s">
        <v>205</v>
      </c>
      <c r="C34" s="47" t="s">
        <v>14</v>
      </c>
      <c r="D34" s="48" t="s">
        <v>172</v>
      </c>
      <c r="E34" s="49" t="s">
        <v>173</v>
      </c>
      <c r="F34" s="50" t="s">
        <v>156</v>
      </c>
      <c r="G34" s="89">
        <f>VLOOKUP(B34,MC!A:J,10,FALSE)</f>
        <v>1.68</v>
      </c>
      <c r="H34" s="34">
        <v>408.78</v>
      </c>
      <c r="I34" s="34">
        <f t="shared" si="27"/>
        <v>530.55999999999995</v>
      </c>
      <c r="J34" s="34">
        <f t="shared" si="28"/>
        <v>686.75</v>
      </c>
      <c r="K34" s="148">
        <f t="shared" si="29"/>
        <v>891.34</v>
      </c>
    </row>
    <row r="35" spans="2:11" s="18" customFormat="1" x14ac:dyDescent="0.2">
      <c r="B35" s="149" t="s">
        <v>206</v>
      </c>
      <c r="C35" s="328" t="s">
        <v>107</v>
      </c>
      <c r="D35" s="329"/>
      <c r="E35" s="329"/>
      <c r="F35" s="329"/>
      <c r="G35" s="329"/>
      <c r="H35" s="329"/>
      <c r="I35" s="330"/>
      <c r="J35" s="88">
        <f>ROUND(SUM(J36:J37),2)</f>
        <v>7814.53</v>
      </c>
      <c r="K35" s="150">
        <f>ROUND(SUM(K36:K37),2)</f>
        <v>10142.379999999999</v>
      </c>
    </row>
    <row r="36" spans="2:11" s="18" customFormat="1" ht="38.25" x14ac:dyDescent="0.2">
      <c r="B36" s="147" t="s">
        <v>208</v>
      </c>
      <c r="C36" s="47" t="s">
        <v>14</v>
      </c>
      <c r="D36" s="48" t="s">
        <v>145</v>
      </c>
      <c r="E36" s="49" t="s">
        <v>146</v>
      </c>
      <c r="F36" s="50" t="s">
        <v>156</v>
      </c>
      <c r="G36" s="89">
        <f>VLOOKUP(B36,MC!A:J,10,FALSE)</f>
        <v>54.67</v>
      </c>
      <c r="H36" s="34">
        <v>95.8</v>
      </c>
      <c r="I36" s="34">
        <f t="shared" ref="I36" si="30">ROUND(H36+(H36*$K$4),2)</f>
        <v>124.34</v>
      </c>
      <c r="J36" s="34">
        <f>ROUND((G36*H36),2)</f>
        <v>5237.3900000000003</v>
      </c>
      <c r="K36" s="148">
        <f>ROUND((G36*I36),2)</f>
        <v>6797.67</v>
      </c>
    </row>
    <row r="37" spans="2:11" s="18" customFormat="1" ht="38.25" x14ac:dyDescent="0.2">
      <c r="B37" s="147" t="s">
        <v>209</v>
      </c>
      <c r="C37" s="47" t="s">
        <v>15</v>
      </c>
      <c r="D37" s="48" t="s">
        <v>147</v>
      </c>
      <c r="E37" s="49" t="s">
        <v>148</v>
      </c>
      <c r="F37" s="50" t="s">
        <v>157</v>
      </c>
      <c r="G37" s="89">
        <f>VLOOKUP(B37,MC!A:J,10,FALSE)</f>
        <v>54.67</v>
      </c>
      <c r="H37" s="34">
        <v>47.14</v>
      </c>
      <c r="I37" s="34">
        <f t="shared" ref="I37" si="31">ROUND(H37+(H37*$K$4),2)</f>
        <v>61.18</v>
      </c>
      <c r="J37" s="34">
        <f t="shared" ref="J37" si="32">ROUND((G37*H37),2)</f>
        <v>2577.14</v>
      </c>
      <c r="K37" s="148">
        <f t="shared" ref="K37" si="33">ROUND((G37*I37),2)</f>
        <v>3344.71</v>
      </c>
    </row>
    <row r="38" spans="2:11" s="18" customFormat="1" x14ac:dyDescent="0.2">
      <c r="B38" s="149" t="s">
        <v>207</v>
      </c>
      <c r="C38" s="328" t="s">
        <v>108</v>
      </c>
      <c r="D38" s="329"/>
      <c r="E38" s="329"/>
      <c r="F38" s="329"/>
      <c r="G38" s="329"/>
      <c r="H38" s="329"/>
      <c r="I38" s="330"/>
      <c r="J38" s="88">
        <f>ROUND(SUM(J39:J45),2)</f>
        <v>20402.86</v>
      </c>
      <c r="K38" s="150">
        <f>ROUND(SUM(K39:K45),2)</f>
        <v>26480.98</v>
      </c>
    </row>
    <row r="39" spans="2:11" s="18" customFormat="1" ht="25.5" x14ac:dyDescent="0.2">
      <c r="B39" s="147" t="s">
        <v>210</v>
      </c>
      <c r="C39" s="47" t="s">
        <v>15</v>
      </c>
      <c r="D39" s="48" t="s">
        <v>149</v>
      </c>
      <c r="E39" s="49" t="s">
        <v>150</v>
      </c>
      <c r="F39" s="50" t="s">
        <v>157</v>
      </c>
      <c r="G39" s="89">
        <f>VLOOKUP(B39,MC!A:J,10,FALSE)</f>
        <v>550.66</v>
      </c>
      <c r="H39" s="34">
        <v>4.47</v>
      </c>
      <c r="I39" s="34">
        <f t="shared" ref="I39" si="34">ROUND(H39+(H39*$K$4),2)</f>
        <v>5.8</v>
      </c>
      <c r="J39" s="34">
        <f>ROUND((G39*H39),2)</f>
        <v>2461.4499999999998</v>
      </c>
      <c r="K39" s="148">
        <f>ROUND((G39*I39),2)</f>
        <v>3193.83</v>
      </c>
    </row>
    <row r="40" spans="2:11" s="18" customFormat="1" ht="25.5" x14ac:dyDescent="0.2">
      <c r="B40" s="147" t="s">
        <v>211</v>
      </c>
      <c r="C40" s="47" t="s">
        <v>14</v>
      </c>
      <c r="D40" s="48" t="s">
        <v>151</v>
      </c>
      <c r="E40" s="49" t="s">
        <v>152</v>
      </c>
      <c r="F40" s="50" t="s">
        <v>156</v>
      </c>
      <c r="G40" s="89">
        <f>VLOOKUP(B40,MC!A:J,10,FALSE)</f>
        <v>550.66</v>
      </c>
      <c r="H40" s="34">
        <v>15.43</v>
      </c>
      <c r="I40" s="34">
        <f t="shared" ref="I40:I45" si="35">ROUND(H40+(H40*$K$4),2)</f>
        <v>20.03</v>
      </c>
      <c r="J40" s="34">
        <f t="shared" ref="J40:J45" si="36">ROUND((G40*H40),2)</f>
        <v>8496.68</v>
      </c>
      <c r="K40" s="148">
        <f t="shared" ref="K40:K45" si="37">ROUND((G40*I40),2)</f>
        <v>11029.72</v>
      </c>
    </row>
    <row r="41" spans="2:11" s="18" customFormat="1" ht="25.5" x14ac:dyDescent="0.2">
      <c r="B41" s="147" t="s">
        <v>212</v>
      </c>
      <c r="C41" s="47" t="s">
        <v>15</v>
      </c>
      <c r="D41" s="48" t="s">
        <v>174</v>
      </c>
      <c r="E41" s="49" t="s">
        <v>175</v>
      </c>
      <c r="F41" s="50" t="s">
        <v>157</v>
      </c>
      <c r="G41" s="89">
        <f>VLOOKUP(B41,MC!A:J,10,FALSE)</f>
        <v>35.9</v>
      </c>
      <c r="H41" s="34">
        <v>5.44</v>
      </c>
      <c r="I41" s="34">
        <f t="shared" si="35"/>
        <v>7.06</v>
      </c>
      <c r="J41" s="34">
        <f t="shared" si="36"/>
        <v>195.3</v>
      </c>
      <c r="K41" s="148">
        <f t="shared" si="37"/>
        <v>253.45</v>
      </c>
    </row>
    <row r="42" spans="2:11" s="18" customFormat="1" ht="25.5" x14ac:dyDescent="0.2">
      <c r="B42" s="147" t="s">
        <v>213</v>
      </c>
      <c r="C42" s="47" t="s">
        <v>14</v>
      </c>
      <c r="D42" s="48" t="s">
        <v>176</v>
      </c>
      <c r="E42" s="49" t="s">
        <v>177</v>
      </c>
      <c r="F42" s="50" t="s">
        <v>156</v>
      </c>
      <c r="G42" s="89">
        <f>VLOOKUP(B42,MC!A:J,10,FALSE)</f>
        <v>35.9</v>
      </c>
      <c r="H42" s="34">
        <v>19.47</v>
      </c>
      <c r="I42" s="34">
        <f t="shared" si="35"/>
        <v>25.27</v>
      </c>
      <c r="J42" s="34">
        <f t="shared" si="36"/>
        <v>698.97</v>
      </c>
      <c r="K42" s="148">
        <f t="shared" si="37"/>
        <v>907.19</v>
      </c>
    </row>
    <row r="43" spans="2:11" s="18" customFormat="1" ht="25.5" x14ac:dyDescent="0.2">
      <c r="B43" s="147" t="s">
        <v>214</v>
      </c>
      <c r="C43" s="47" t="s">
        <v>14</v>
      </c>
      <c r="D43" s="48" t="s">
        <v>178</v>
      </c>
      <c r="E43" s="49" t="s">
        <v>179</v>
      </c>
      <c r="F43" s="50" t="s">
        <v>156</v>
      </c>
      <c r="G43" s="89">
        <f>VLOOKUP(B43,MC!A:J,10,FALSE)</f>
        <v>35.9</v>
      </c>
      <c r="H43" s="34">
        <v>12.98</v>
      </c>
      <c r="I43" s="34">
        <f t="shared" si="35"/>
        <v>16.850000000000001</v>
      </c>
      <c r="J43" s="34">
        <f t="shared" si="36"/>
        <v>465.98</v>
      </c>
      <c r="K43" s="148">
        <f t="shared" si="37"/>
        <v>604.91999999999996</v>
      </c>
    </row>
    <row r="44" spans="2:11" s="18" customFormat="1" ht="38.25" x14ac:dyDescent="0.2">
      <c r="B44" s="147" t="s">
        <v>215</v>
      </c>
      <c r="C44" s="47" t="s">
        <v>15</v>
      </c>
      <c r="D44" s="48" t="s">
        <v>153</v>
      </c>
      <c r="E44" s="49" t="s">
        <v>154</v>
      </c>
      <c r="F44" s="50" t="s">
        <v>157</v>
      </c>
      <c r="G44" s="89">
        <f>VLOOKUP(B44,MC!A:J,10,FALSE)</f>
        <v>32.020000000000003</v>
      </c>
      <c r="H44" s="34">
        <v>55.98</v>
      </c>
      <c r="I44" s="34">
        <f t="shared" si="35"/>
        <v>72.66</v>
      </c>
      <c r="J44" s="34">
        <f t="shared" si="36"/>
        <v>1792.48</v>
      </c>
      <c r="K44" s="148">
        <f t="shared" si="37"/>
        <v>2326.5700000000002</v>
      </c>
    </row>
    <row r="45" spans="2:11" s="18" customFormat="1" ht="25.5" x14ac:dyDescent="0.2">
      <c r="B45" s="147" t="s">
        <v>216</v>
      </c>
      <c r="C45" s="47" t="s">
        <v>14</v>
      </c>
      <c r="D45" s="48" t="s">
        <v>180</v>
      </c>
      <c r="E45" s="49" t="s">
        <v>181</v>
      </c>
      <c r="F45" s="50" t="s">
        <v>182</v>
      </c>
      <c r="G45" s="89">
        <f>VLOOKUP(B45,MC!A:J,10,FALSE)</f>
        <v>286</v>
      </c>
      <c r="H45" s="34">
        <v>22</v>
      </c>
      <c r="I45" s="34">
        <f t="shared" si="35"/>
        <v>28.55</v>
      </c>
      <c r="J45" s="34">
        <f t="shared" si="36"/>
        <v>6292</v>
      </c>
      <c r="K45" s="148">
        <f t="shared" si="37"/>
        <v>8165.3</v>
      </c>
    </row>
    <row r="46" spans="2:11" s="18" customFormat="1" x14ac:dyDescent="0.2">
      <c r="B46" s="149" t="s">
        <v>217</v>
      </c>
      <c r="C46" s="328" t="s">
        <v>109</v>
      </c>
      <c r="D46" s="329"/>
      <c r="E46" s="329"/>
      <c r="F46" s="329"/>
      <c r="G46" s="329"/>
      <c r="H46" s="329"/>
      <c r="I46" s="330"/>
      <c r="J46" s="88">
        <f>ROUND(SUM(J47:J51),2)</f>
        <v>827.01</v>
      </c>
      <c r="K46" s="150">
        <f>ROUND(SUM(K47:K51),2)</f>
        <v>1073.24</v>
      </c>
    </row>
    <row r="47" spans="2:11" s="18" customFormat="1" ht="38.25" x14ac:dyDescent="0.2">
      <c r="B47" s="147" t="s">
        <v>218</v>
      </c>
      <c r="C47" s="29" t="s">
        <v>14</v>
      </c>
      <c r="D47" s="48" t="s">
        <v>183</v>
      </c>
      <c r="E47" s="49" t="s">
        <v>184</v>
      </c>
      <c r="F47" s="50" t="s">
        <v>63</v>
      </c>
      <c r="G47" s="89">
        <f>VLOOKUP(B47,MC!A:J,10,FALSE)</f>
        <v>5</v>
      </c>
      <c r="H47" s="34">
        <v>10.92</v>
      </c>
      <c r="I47" s="34">
        <f t="shared" ref="I47" si="38">ROUND(H47+(H47*$K$4),2)</f>
        <v>14.17</v>
      </c>
      <c r="J47" s="34">
        <f t="shared" ref="J47" si="39">ROUND((G47*H47),2)</f>
        <v>54.6</v>
      </c>
      <c r="K47" s="148">
        <f t="shared" ref="K47" si="40">ROUND((G47*I47),2)</f>
        <v>70.849999999999994</v>
      </c>
    </row>
    <row r="48" spans="2:11" s="18" customFormat="1" ht="25.5" x14ac:dyDescent="0.2">
      <c r="B48" s="147" t="s">
        <v>323</v>
      </c>
      <c r="C48" s="29" t="s">
        <v>14</v>
      </c>
      <c r="D48" s="48" t="s">
        <v>327</v>
      </c>
      <c r="E48" s="49" t="s">
        <v>328</v>
      </c>
      <c r="F48" s="50" t="s">
        <v>267</v>
      </c>
      <c r="G48" s="89">
        <f>VLOOKUP(B48,MC!A:J,10,FALSE)</f>
        <v>21</v>
      </c>
      <c r="H48" s="34">
        <v>20.89</v>
      </c>
      <c r="I48" s="34">
        <f t="shared" ref="I48:I51" si="41">ROUND(H48+(H48*$K$4),2)</f>
        <v>27.11</v>
      </c>
      <c r="J48" s="34">
        <f t="shared" ref="J48:J51" si="42">ROUND((G48*H48),2)</f>
        <v>438.69</v>
      </c>
      <c r="K48" s="148">
        <f t="shared" ref="K48:K51" si="43">ROUND((G48*I48),2)</f>
        <v>569.30999999999995</v>
      </c>
    </row>
    <row r="49" spans="2:11" s="18" customFormat="1" ht="38.25" x14ac:dyDescent="0.2">
      <c r="B49" s="147" t="s">
        <v>324</v>
      </c>
      <c r="C49" s="29" t="s">
        <v>14</v>
      </c>
      <c r="D49" s="48" t="s">
        <v>329</v>
      </c>
      <c r="E49" s="49" t="s">
        <v>330</v>
      </c>
      <c r="F49" s="50" t="s">
        <v>267</v>
      </c>
      <c r="G49" s="89">
        <f>VLOOKUP(B49,MC!A:J,10,FALSE)</f>
        <v>63</v>
      </c>
      <c r="H49" s="34">
        <v>2.99</v>
      </c>
      <c r="I49" s="34">
        <f t="shared" si="41"/>
        <v>3.88</v>
      </c>
      <c r="J49" s="34">
        <f t="shared" si="42"/>
        <v>188.37</v>
      </c>
      <c r="K49" s="148">
        <f t="shared" si="43"/>
        <v>244.44</v>
      </c>
    </row>
    <row r="50" spans="2:11" s="18" customFormat="1" ht="25.5" x14ac:dyDescent="0.2">
      <c r="B50" s="147" t="s">
        <v>325</v>
      </c>
      <c r="C50" s="29" t="s">
        <v>15</v>
      </c>
      <c r="D50" s="48" t="s">
        <v>331</v>
      </c>
      <c r="E50" s="49" t="s">
        <v>332</v>
      </c>
      <c r="F50" s="50" t="s">
        <v>121</v>
      </c>
      <c r="G50" s="89">
        <f>VLOOKUP(B50,MC!A:J,10,FALSE)</f>
        <v>4</v>
      </c>
      <c r="H50" s="34">
        <v>29.01</v>
      </c>
      <c r="I50" s="34">
        <f t="shared" si="41"/>
        <v>37.65</v>
      </c>
      <c r="J50" s="34">
        <f t="shared" si="42"/>
        <v>116.04</v>
      </c>
      <c r="K50" s="148">
        <f t="shared" si="43"/>
        <v>150.6</v>
      </c>
    </row>
    <row r="51" spans="2:11" s="18" customFormat="1" ht="25.5" x14ac:dyDescent="0.2">
      <c r="B51" s="147" t="s">
        <v>326</v>
      </c>
      <c r="C51" s="29" t="s">
        <v>15</v>
      </c>
      <c r="D51" s="48" t="s">
        <v>333</v>
      </c>
      <c r="E51" s="49" t="s">
        <v>334</v>
      </c>
      <c r="F51" s="50" t="s">
        <v>121</v>
      </c>
      <c r="G51" s="89">
        <f>VLOOKUP(B51,MC!A:J,10,FALSE)</f>
        <v>1</v>
      </c>
      <c r="H51" s="34">
        <v>29.31</v>
      </c>
      <c r="I51" s="34">
        <f t="shared" si="41"/>
        <v>38.04</v>
      </c>
      <c r="J51" s="34">
        <f t="shared" si="42"/>
        <v>29.31</v>
      </c>
      <c r="K51" s="148">
        <f t="shared" si="43"/>
        <v>38.04</v>
      </c>
    </row>
    <row r="52" spans="2:11" s="18" customFormat="1" x14ac:dyDescent="0.2">
      <c r="B52" s="149" t="s">
        <v>219</v>
      </c>
      <c r="C52" s="328" t="s">
        <v>220</v>
      </c>
      <c r="D52" s="329"/>
      <c r="E52" s="329"/>
      <c r="F52" s="329"/>
      <c r="G52" s="329"/>
      <c r="H52" s="329"/>
      <c r="I52" s="330"/>
      <c r="J52" s="88">
        <f>ROUND(SUM(J53,J56),2)</f>
        <v>32181.14</v>
      </c>
      <c r="K52" s="88">
        <f>ROUND(SUM(K53,K56),2)</f>
        <v>41768.33</v>
      </c>
    </row>
    <row r="53" spans="2:11" s="18" customFormat="1" x14ac:dyDescent="0.2">
      <c r="B53" s="151" t="s">
        <v>221</v>
      </c>
      <c r="C53" s="341" t="s">
        <v>222</v>
      </c>
      <c r="D53" s="342"/>
      <c r="E53" s="342"/>
      <c r="F53" s="342"/>
      <c r="G53" s="342"/>
      <c r="H53" s="342"/>
      <c r="I53" s="343"/>
      <c r="J53" s="63">
        <f>ROUND(SUM(J54:J55),2)</f>
        <v>892.04</v>
      </c>
      <c r="K53" s="152">
        <f>ROUND(SUM(K54:K55),2)</f>
        <v>1157.82</v>
      </c>
    </row>
    <row r="54" spans="2:11" s="18" customFormat="1" ht="25.5" x14ac:dyDescent="0.2">
      <c r="B54" s="147" t="s">
        <v>224</v>
      </c>
      <c r="C54" s="29" t="s">
        <v>14</v>
      </c>
      <c r="D54" s="48" t="s">
        <v>239</v>
      </c>
      <c r="E54" s="49" t="s">
        <v>240</v>
      </c>
      <c r="F54" s="50" t="s">
        <v>155</v>
      </c>
      <c r="G54" s="89">
        <f>VLOOKUP(B54,MC!A:J,10,FALSE)</f>
        <v>8.4700000000000006</v>
      </c>
      <c r="H54" s="34">
        <v>71.42</v>
      </c>
      <c r="I54" s="34">
        <f t="shared" ref="I54" si="44">ROUND(H54+(H54*$K$4),2)</f>
        <v>92.7</v>
      </c>
      <c r="J54" s="34">
        <f t="shared" ref="J54" si="45">ROUND((G54*H54),2)</f>
        <v>604.92999999999995</v>
      </c>
      <c r="K54" s="148">
        <f t="shared" ref="K54" si="46">ROUND((G54*I54),2)</f>
        <v>785.17</v>
      </c>
    </row>
    <row r="55" spans="2:11" s="18" customFormat="1" ht="25.5" x14ac:dyDescent="0.2">
      <c r="B55" s="147" t="s">
        <v>225</v>
      </c>
      <c r="C55" s="29" t="s">
        <v>14</v>
      </c>
      <c r="D55" s="48" t="s">
        <v>241</v>
      </c>
      <c r="E55" s="49" t="s">
        <v>242</v>
      </c>
      <c r="F55" s="50" t="s">
        <v>155</v>
      </c>
      <c r="G55" s="89">
        <f>VLOOKUP(B55,MC!A:J,10,FALSE)</f>
        <v>4.0199999999999996</v>
      </c>
      <c r="H55" s="34">
        <v>71.42</v>
      </c>
      <c r="I55" s="34">
        <f t="shared" ref="I55" si="47">ROUND(H55+(H55*$K$4),2)</f>
        <v>92.7</v>
      </c>
      <c r="J55" s="34">
        <f t="shared" ref="J55" si="48">ROUND((G55*H55),2)</f>
        <v>287.11</v>
      </c>
      <c r="K55" s="148">
        <f t="shared" ref="K55" si="49">ROUND((G55*I55),2)</f>
        <v>372.65</v>
      </c>
    </row>
    <row r="56" spans="2:11" s="18" customFormat="1" x14ac:dyDescent="0.2">
      <c r="B56" s="151" t="s">
        <v>227</v>
      </c>
      <c r="C56" s="341" t="s">
        <v>223</v>
      </c>
      <c r="D56" s="342"/>
      <c r="E56" s="342"/>
      <c r="F56" s="342"/>
      <c r="G56" s="342"/>
      <c r="H56" s="342"/>
      <c r="I56" s="343"/>
      <c r="J56" s="63">
        <f>ROUND(SUM(J57:J68),2)</f>
        <v>31289.1</v>
      </c>
      <c r="K56" s="152">
        <f>ROUND(SUM(K57:K68),2)</f>
        <v>40610.51</v>
      </c>
    </row>
    <row r="57" spans="2:11" s="18" customFormat="1" ht="25.5" x14ac:dyDescent="0.2">
      <c r="B57" s="147" t="s">
        <v>226</v>
      </c>
      <c r="C57" s="29" t="s">
        <v>416</v>
      </c>
      <c r="D57" s="48" t="s">
        <v>61</v>
      </c>
      <c r="E57" s="49" t="s">
        <v>243</v>
      </c>
      <c r="F57" s="50" t="s">
        <v>244</v>
      </c>
      <c r="G57" s="89">
        <f>VLOOKUP(B57,MC!A:J,10,FALSE)</f>
        <v>39.200000000000003</v>
      </c>
      <c r="H57" s="34">
        <v>100.1</v>
      </c>
      <c r="I57" s="34">
        <f t="shared" ref="I57" si="50">ROUND(H57+(H57*$K$4),2)</f>
        <v>129.91999999999999</v>
      </c>
      <c r="J57" s="34">
        <f t="shared" ref="J57" si="51">ROUND((G57*H57),2)</f>
        <v>3923.92</v>
      </c>
      <c r="K57" s="148">
        <f t="shared" ref="K57" si="52">ROUND((G57*I57),2)</f>
        <v>5092.8599999999997</v>
      </c>
    </row>
    <row r="58" spans="2:11" s="18" customFormat="1" ht="25.5" x14ac:dyDescent="0.2">
      <c r="B58" s="147" t="s">
        <v>228</v>
      </c>
      <c r="C58" s="29" t="s">
        <v>14</v>
      </c>
      <c r="D58" s="48" t="s">
        <v>245</v>
      </c>
      <c r="E58" s="49" t="s">
        <v>246</v>
      </c>
      <c r="F58" s="50" t="s">
        <v>156</v>
      </c>
      <c r="G58" s="89">
        <f>VLOOKUP(B58,MC!A:J,10,FALSE)</f>
        <v>7.84</v>
      </c>
      <c r="H58" s="34">
        <v>24.08</v>
      </c>
      <c r="I58" s="34">
        <f t="shared" ref="I58:I68" si="53">ROUND(H58+(H58*$K$4),2)</f>
        <v>31.25</v>
      </c>
      <c r="J58" s="34">
        <f t="shared" ref="J58:J68" si="54">ROUND((G58*H58),2)</f>
        <v>188.79</v>
      </c>
      <c r="K58" s="148">
        <f t="shared" ref="K58:K68" si="55">ROUND((G58*I58),2)</f>
        <v>245</v>
      </c>
    </row>
    <row r="59" spans="2:11" s="18" customFormat="1" ht="25.5" x14ac:dyDescent="0.2">
      <c r="B59" s="147" t="s">
        <v>229</v>
      </c>
      <c r="C59" s="29" t="s">
        <v>14</v>
      </c>
      <c r="D59" s="48" t="s">
        <v>247</v>
      </c>
      <c r="E59" s="49" t="s">
        <v>248</v>
      </c>
      <c r="F59" s="50" t="s">
        <v>155</v>
      </c>
      <c r="G59" s="89">
        <f>VLOOKUP(B59,MC!A:J,10,FALSE)</f>
        <v>0.78</v>
      </c>
      <c r="H59" s="34">
        <v>397.22</v>
      </c>
      <c r="I59" s="34">
        <f t="shared" si="53"/>
        <v>515.55999999999995</v>
      </c>
      <c r="J59" s="34">
        <f t="shared" si="54"/>
        <v>309.83</v>
      </c>
      <c r="K59" s="148">
        <f t="shared" si="55"/>
        <v>402.14</v>
      </c>
    </row>
    <row r="60" spans="2:11" s="18" customFormat="1" ht="38.25" x14ac:dyDescent="0.2">
      <c r="B60" s="147" t="s">
        <v>230</v>
      </c>
      <c r="C60" s="29" t="s">
        <v>15</v>
      </c>
      <c r="D60" s="48" t="s">
        <v>249</v>
      </c>
      <c r="E60" s="49" t="s">
        <v>250</v>
      </c>
      <c r="F60" s="50" t="s">
        <v>157</v>
      </c>
      <c r="G60" s="89">
        <f>VLOOKUP(B60,MC!A:J,10,FALSE)</f>
        <v>21.12</v>
      </c>
      <c r="H60" s="34">
        <v>128.82</v>
      </c>
      <c r="I60" s="34">
        <f t="shared" si="53"/>
        <v>167.2</v>
      </c>
      <c r="J60" s="34">
        <f t="shared" si="54"/>
        <v>2720.68</v>
      </c>
      <c r="K60" s="148">
        <f t="shared" si="55"/>
        <v>3531.26</v>
      </c>
    </row>
    <row r="61" spans="2:11" s="18" customFormat="1" ht="38.25" x14ac:dyDescent="0.2">
      <c r="B61" s="147" t="s">
        <v>231</v>
      </c>
      <c r="C61" s="29" t="s">
        <v>15</v>
      </c>
      <c r="D61" s="48" t="s">
        <v>251</v>
      </c>
      <c r="E61" s="49" t="s">
        <v>252</v>
      </c>
      <c r="F61" s="50" t="s">
        <v>157</v>
      </c>
      <c r="G61" s="89">
        <f>VLOOKUP(B61,MC!A:J,10,FALSE)</f>
        <v>49.97</v>
      </c>
      <c r="H61" s="34">
        <v>96.25</v>
      </c>
      <c r="I61" s="34">
        <f t="shared" si="53"/>
        <v>124.93</v>
      </c>
      <c r="J61" s="34">
        <f t="shared" si="54"/>
        <v>4809.6099999999997</v>
      </c>
      <c r="K61" s="148">
        <f t="shared" si="55"/>
        <v>6242.75</v>
      </c>
    </row>
    <row r="62" spans="2:11" s="18" customFormat="1" ht="38.25" x14ac:dyDescent="0.2">
      <c r="B62" s="147" t="s">
        <v>232</v>
      </c>
      <c r="C62" s="29" t="s">
        <v>14</v>
      </c>
      <c r="D62" s="48" t="s">
        <v>253</v>
      </c>
      <c r="E62" s="49" t="s">
        <v>254</v>
      </c>
      <c r="F62" s="50" t="s">
        <v>156</v>
      </c>
      <c r="G62" s="89">
        <f>VLOOKUP(B62,MC!A:J,10,FALSE)</f>
        <v>16.420000000000002</v>
      </c>
      <c r="H62" s="34">
        <v>65.84</v>
      </c>
      <c r="I62" s="34">
        <f t="shared" si="53"/>
        <v>85.46</v>
      </c>
      <c r="J62" s="34">
        <f t="shared" si="54"/>
        <v>1081.0899999999999</v>
      </c>
      <c r="K62" s="148">
        <f t="shared" si="55"/>
        <v>1403.25</v>
      </c>
    </row>
    <row r="63" spans="2:11" s="18" customFormat="1" x14ac:dyDescent="0.2">
      <c r="B63" s="147" t="s">
        <v>233</v>
      </c>
      <c r="C63" s="29" t="s">
        <v>15</v>
      </c>
      <c r="D63" s="48" t="s">
        <v>255</v>
      </c>
      <c r="E63" s="49" t="s">
        <v>256</v>
      </c>
      <c r="F63" s="50" t="s">
        <v>171</v>
      </c>
      <c r="G63" s="89">
        <f>VLOOKUP(B63,MC!A:J,10,FALSE)</f>
        <v>188.6</v>
      </c>
      <c r="H63" s="34">
        <v>9.58</v>
      </c>
      <c r="I63" s="34">
        <f t="shared" si="53"/>
        <v>12.43</v>
      </c>
      <c r="J63" s="34">
        <f t="shared" si="54"/>
        <v>1806.79</v>
      </c>
      <c r="K63" s="148">
        <f t="shared" si="55"/>
        <v>2344.3000000000002</v>
      </c>
    </row>
    <row r="64" spans="2:11" s="18" customFormat="1" x14ac:dyDescent="0.2">
      <c r="B64" s="147" t="s">
        <v>234</v>
      </c>
      <c r="C64" s="29" t="s">
        <v>15</v>
      </c>
      <c r="D64" s="48" t="s">
        <v>257</v>
      </c>
      <c r="E64" s="49" t="s">
        <v>258</v>
      </c>
      <c r="F64" s="50" t="s">
        <v>171</v>
      </c>
      <c r="G64" s="89">
        <f>VLOOKUP(B64,MC!A:J,10,FALSE)</f>
        <v>173.6</v>
      </c>
      <c r="H64" s="34">
        <v>9.61</v>
      </c>
      <c r="I64" s="34">
        <f t="shared" si="53"/>
        <v>12.47</v>
      </c>
      <c r="J64" s="34">
        <f t="shared" si="54"/>
        <v>1668.3</v>
      </c>
      <c r="K64" s="148">
        <f t="shared" si="55"/>
        <v>2164.79</v>
      </c>
    </row>
    <row r="65" spans="2:11" s="18" customFormat="1" x14ac:dyDescent="0.2">
      <c r="B65" s="147" t="s">
        <v>235</v>
      </c>
      <c r="C65" s="29" t="s">
        <v>15</v>
      </c>
      <c r="D65" s="48" t="s">
        <v>259</v>
      </c>
      <c r="E65" s="49" t="s">
        <v>260</v>
      </c>
      <c r="F65" s="50" t="s">
        <v>171</v>
      </c>
      <c r="G65" s="89">
        <f>VLOOKUP(B65,MC!A:J,10,FALSE)</f>
        <v>19.399999999999999</v>
      </c>
      <c r="H65" s="34">
        <v>9.5</v>
      </c>
      <c r="I65" s="34">
        <f t="shared" si="53"/>
        <v>12.33</v>
      </c>
      <c r="J65" s="34">
        <f t="shared" si="54"/>
        <v>184.3</v>
      </c>
      <c r="K65" s="148">
        <f t="shared" si="55"/>
        <v>239.2</v>
      </c>
    </row>
    <row r="66" spans="2:11" s="18" customFormat="1" x14ac:dyDescent="0.2">
      <c r="B66" s="147" t="s">
        <v>236</v>
      </c>
      <c r="C66" s="29" t="s">
        <v>15</v>
      </c>
      <c r="D66" s="48" t="s">
        <v>261</v>
      </c>
      <c r="E66" s="49" t="s">
        <v>262</v>
      </c>
      <c r="F66" s="50" t="s">
        <v>171</v>
      </c>
      <c r="G66" s="89">
        <f>VLOOKUP(B66,MC!A:J,10,FALSE)</f>
        <v>222.2</v>
      </c>
      <c r="H66" s="34">
        <v>8.75</v>
      </c>
      <c r="I66" s="34">
        <f t="shared" si="53"/>
        <v>11.36</v>
      </c>
      <c r="J66" s="34">
        <f t="shared" si="54"/>
        <v>1944.25</v>
      </c>
      <c r="K66" s="148">
        <f t="shared" si="55"/>
        <v>2524.19</v>
      </c>
    </row>
    <row r="67" spans="2:11" s="18" customFormat="1" x14ac:dyDescent="0.2">
      <c r="B67" s="147" t="s">
        <v>237</v>
      </c>
      <c r="C67" s="29" t="s">
        <v>15</v>
      </c>
      <c r="D67" s="48" t="s">
        <v>263</v>
      </c>
      <c r="E67" s="49" t="s">
        <v>264</v>
      </c>
      <c r="F67" s="50" t="s">
        <v>171</v>
      </c>
      <c r="G67" s="89">
        <f>VLOOKUP(B67,MC!A:J,10,FALSE)</f>
        <v>54</v>
      </c>
      <c r="H67" s="34">
        <v>7.48</v>
      </c>
      <c r="I67" s="34">
        <f t="shared" si="53"/>
        <v>9.7100000000000009</v>
      </c>
      <c r="J67" s="34">
        <f t="shared" si="54"/>
        <v>403.92</v>
      </c>
      <c r="K67" s="148">
        <f t="shared" si="55"/>
        <v>524.34</v>
      </c>
    </row>
    <row r="68" spans="2:11" s="18" customFormat="1" ht="38.25" x14ac:dyDescent="0.2">
      <c r="B68" s="147" t="s">
        <v>238</v>
      </c>
      <c r="C68" s="29" t="s">
        <v>14</v>
      </c>
      <c r="D68" s="48" t="s">
        <v>265</v>
      </c>
      <c r="E68" s="49" t="s">
        <v>266</v>
      </c>
      <c r="F68" s="50" t="s">
        <v>155</v>
      </c>
      <c r="G68" s="89">
        <f>VLOOKUP(B68,MC!A:J,10,FALSE)</f>
        <v>16.5</v>
      </c>
      <c r="H68" s="34">
        <v>742.28</v>
      </c>
      <c r="I68" s="34">
        <f t="shared" si="53"/>
        <v>963.42</v>
      </c>
      <c r="J68" s="34">
        <f t="shared" si="54"/>
        <v>12247.62</v>
      </c>
      <c r="K68" s="148">
        <f t="shared" si="55"/>
        <v>15896.43</v>
      </c>
    </row>
    <row r="69" spans="2:11" s="18" customFormat="1" ht="18" customHeight="1" x14ac:dyDescent="0.2">
      <c r="B69" s="145">
        <v>3</v>
      </c>
      <c r="C69" s="334" t="s">
        <v>339</v>
      </c>
      <c r="D69" s="334"/>
      <c r="E69" s="334"/>
      <c r="F69" s="334"/>
      <c r="G69" s="334"/>
      <c r="H69" s="334"/>
      <c r="I69" s="334"/>
      <c r="J69" s="94">
        <f>ROUND(SUM(J70,J83,J90,J95,J98,J106,J112),2)</f>
        <v>72691.179999999993</v>
      </c>
      <c r="K69" s="146">
        <f>ROUND(SUM(K70,K83,K90,K95,K98,K106,K112),2)</f>
        <v>94656.52</v>
      </c>
    </row>
    <row r="70" spans="2:11" s="18" customFormat="1" x14ac:dyDescent="0.2">
      <c r="B70" s="149" t="s">
        <v>348</v>
      </c>
      <c r="C70" s="328" t="s">
        <v>104</v>
      </c>
      <c r="D70" s="329"/>
      <c r="E70" s="329"/>
      <c r="F70" s="329"/>
      <c r="G70" s="329"/>
      <c r="H70" s="329"/>
      <c r="I70" s="330"/>
      <c r="J70" s="88">
        <f>ROUND(SUM(J71:J80),2)</f>
        <v>3675.06</v>
      </c>
      <c r="K70" s="150">
        <f>ROUND(SUM(K71:K82),2)</f>
        <v>5080.24</v>
      </c>
    </row>
    <row r="71" spans="2:11" s="18" customFormat="1" ht="51" x14ac:dyDescent="0.2">
      <c r="B71" s="147" t="s">
        <v>349</v>
      </c>
      <c r="C71" s="29" t="s">
        <v>14</v>
      </c>
      <c r="D71" s="30" t="s">
        <v>340</v>
      </c>
      <c r="E71" s="31" t="s">
        <v>341</v>
      </c>
      <c r="F71" s="32" t="s">
        <v>156</v>
      </c>
      <c r="G71" s="89">
        <f>VLOOKUP(B71,MC!A:J,10,FALSE)</f>
        <v>3.57</v>
      </c>
      <c r="H71" s="33">
        <v>181.25</v>
      </c>
      <c r="I71" s="34">
        <f t="shared" ref="I71:I78" si="56">ROUND(H71+(H71*$K$4),2)</f>
        <v>235.25</v>
      </c>
      <c r="J71" s="34">
        <f t="shared" ref="J71:J78" si="57">ROUND((G71*H71),2)</f>
        <v>647.05999999999995</v>
      </c>
      <c r="K71" s="148">
        <f t="shared" ref="K71:K78" si="58">ROUND((G71*I71),2)</f>
        <v>839.84</v>
      </c>
    </row>
    <row r="72" spans="2:11" s="18" customFormat="1" ht="38.25" x14ac:dyDescent="0.2">
      <c r="B72" s="147" t="s">
        <v>350</v>
      </c>
      <c r="C72" s="29" t="s">
        <v>14</v>
      </c>
      <c r="D72" s="30" t="s">
        <v>127</v>
      </c>
      <c r="E72" s="31" t="s">
        <v>128</v>
      </c>
      <c r="F72" s="32" t="s">
        <v>156</v>
      </c>
      <c r="G72" s="89">
        <f>VLOOKUP(B72,MC!A:J,10,FALSE)</f>
        <v>42.79</v>
      </c>
      <c r="H72" s="33">
        <v>10.34</v>
      </c>
      <c r="I72" s="34">
        <f t="shared" si="56"/>
        <v>13.42</v>
      </c>
      <c r="J72" s="34">
        <f t="shared" si="57"/>
        <v>442.45</v>
      </c>
      <c r="K72" s="148">
        <f t="shared" si="58"/>
        <v>574.24</v>
      </c>
    </row>
    <row r="73" spans="2:11" s="18" customFormat="1" ht="25.5" x14ac:dyDescent="0.2">
      <c r="B73" s="147" t="s">
        <v>351</v>
      </c>
      <c r="C73" s="29" t="s">
        <v>15</v>
      </c>
      <c r="D73" s="30" t="s">
        <v>129</v>
      </c>
      <c r="E73" s="31" t="s">
        <v>130</v>
      </c>
      <c r="F73" s="32" t="s">
        <v>157</v>
      </c>
      <c r="G73" s="89">
        <f>VLOOKUP(B73,MC!A:J,10,FALSE)</f>
        <v>4.8</v>
      </c>
      <c r="H73" s="33">
        <v>24.62</v>
      </c>
      <c r="I73" s="34">
        <f t="shared" si="56"/>
        <v>31.95</v>
      </c>
      <c r="J73" s="34">
        <f t="shared" si="57"/>
        <v>118.18</v>
      </c>
      <c r="K73" s="148">
        <f t="shared" si="58"/>
        <v>153.36000000000001</v>
      </c>
    </row>
    <row r="74" spans="2:11" s="18" customFormat="1" ht="25.5" x14ac:dyDescent="0.2">
      <c r="B74" s="147" t="s">
        <v>352</v>
      </c>
      <c r="C74" s="29" t="s">
        <v>15</v>
      </c>
      <c r="D74" s="30" t="s">
        <v>131</v>
      </c>
      <c r="E74" s="31" t="s">
        <v>132</v>
      </c>
      <c r="F74" s="32" t="s">
        <v>157</v>
      </c>
      <c r="G74" s="89">
        <f>VLOOKUP(B74,MC!A:J,10,FALSE)</f>
        <v>2.58</v>
      </c>
      <c r="H74" s="33">
        <v>9.5299999999999994</v>
      </c>
      <c r="I74" s="34">
        <f t="shared" si="56"/>
        <v>12.37</v>
      </c>
      <c r="J74" s="34">
        <f t="shared" si="57"/>
        <v>24.59</v>
      </c>
      <c r="K74" s="148">
        <f t="shared" si="58"/>
        <v>31.91</v>
      </c>
    </row>
    <row r="75" spans="2:11" s="18" customFormat="1" x14ac:dyDescent="0.2">
      <c r="B75" s="147" t="s">
        <v>353</v>
      </c>
      <c r="C75" s="29" t="s">
        <v>342</v>
      </c>
      <c r="D75" s="30" t="s">
        <v>343</v>
      </c>
      <c r="E75" s="31" t="s">
        <v>344</v>
      </c>
      <c r="F75" s="32" t="s">
        <v>267</v>
      </c>
      <c r="G75" s="89">
        <f>VLOOKUP(B75,MC!A:J,10,FALSE)</f>
        <v>7.5</v>
      </c>
      <c r="H75" s="33">
        <v>7.28</v>
      </c>
      <c r="I75" s="34">
        <f>ROUND(H75+(H75*$K$4),2)</f>
        <v>9.4499999999999993</v>
      </c>
      <c r="J75" s="34">
        <f t="shared" si="57"/>
        <v>54.6</v>
      </c>
      <c r="K75" s="148">
        <f t="shared" si="58"/>
        <v>70.88</v>
      </c>
    </row>
    <row r="76" spans="2:11" s="18" customFormat="1" ht="25.5" x14ac:dyDescent="0.2">
      <c r="B76" s="147" t="s">
        <v>354</v>
      </c>
      <c r="C76" s="29" t="s">
        <v>14</v>
      </c>
      <c r="D76" s="30" t="s">
        <v>165</v>
      </c>
      <c r="E76" s="31" t="s">
        <v>166</v>
      </c>
      <c r="F76" s="32" t="s">
        <v>156</v>
      </c>
      <c r="G76" s="89">
        <f>VLOOKUP(B76,MC!A:J,10,FALSE)</f>
        <v>22.96</v>
      </c>
      <c r="H76" s="33">
        <v>5.43</v>
      </c>
      <c r="I76" s="34">
        <f t="shared" si="56"/>
        <v>7.05</v>
      </c>
      <c r="J76" s="34">
        <f t="shared" si="57"/>
        <v>124.67</v>
      </c>
      <c r="K76" s="148">
        <f t="shared" si="58"/>
        <v>161.87</v>
      </c>
    </row>
    <row r="77" spans="2:11" s="18" customFormat="1" x14ac:dyDescent="0.2">
      <c r="B77" s="147" t="s">
        <v>355</v>
      </c>
      <c r="C77" s="29" t="s">
        <v>14</v>
      </c>
      <c r="D77" s="30" t="s">
        <v>167</v>
      </c>
      <c r="E77" s="31" t="s">
        <v>168</v>
      </c>
      <c r="F77" s="32" t="s">
        <v>156</v>
      </c>
      <c r="G77" s="89">
        <f>VLOOKUP(B77,MC!A:J,10,FALSE)</f>
        <v>527.17999999999995</v>
      </c>
      <c r="H77" s="33">
        <v>3.13</v>
      </c>
      <c r="I77" s="34">
        <f t="shared" si="56"/>
        <v>4.0599999999999996</v>
      </c>
      <c r="J77" s="34">
        <f t="shared" si="57"/>
        <v>1650.07</v>
      </c>
      <c r="K77" s="148">
        <f t="shared" si="58"/>
        <v>2140.35</v>
      </c>
    </row>
    <row r="78" spans="2:11" s="18" customFormat="1" x14ac:dyDescent="0.2">
      <c r="B78" s="147" t="s">
        <v>356</v>
      </c>
      <c r="C78" s="29" t="s">
        <v>14</v>
      </c>
      <c r="D78" s="30" t="s">
        <v>169</v>
      </c>
      <c r="E78" s="31" t="s">
        <v>170</v>
      </c>
      <c r="F78" s="32" t="s">
        <v>156</v>
      </c>
      <c r="G78" s="89">
        <f>VLOOKUP(B78,MC!A:J,10,FALSE)</f>
        <v>35.9</v>
      </c>
      <c r="H78" s="33">
        <v>3.55</v>
      </c>
      <c r="I78" s="34">
        <f t="shared" si="56"/>
        <v>4.6100000000000003</v>
      </c>
      <c r="J78" s="34">
        <f t="shared" si="57"/>
        <v>127.45</v>
      </c>
      <c r="K78" s="148">
        <f t="shared" si="58"/>
        <v>165.5</v>
      </c>
    </row>
    <row r="79" spans="2:11" s="18" customFormat="1" ht="25.5" x14ac:dyDescent="0.2">
      <c r="B79" s="147" t="s">
        <v>357</v>
      </c>
      <c r="C79" s="29" t="s">
        <v>15</v>
      </c>
      <c r="D79" s="30" t="s">
        <v>133</v>
      </c>
      <c r="E79" s="31" t="s">
        <v>134</v>
      </c>
      <c r="F79" s="32" t="s">
        <v>157</v>
      </c>
      <c r="G79" s="89">
        <f>VLOOKUP(B79,MC!A:J,10,FALSE)</f>
        <v>54.67</v>
      </c>
      <c r="H79" s="33">
        <v>3.54</v>
      </c>
      <c r="I79" s="34">
        <f>ROUND(H79+(H79*$K$4),2)</f>
        <v>4.59</v>
      </c>
      <c r="J79" s="34">
        <f>ROUND((G79*H79),2)</f>
        <v>193.53</v>
      </c>
      <c r="K79" s="148">
        <f>ROUND((G79*I79),2)</f>
        <v>250.94</v>
      </c>
    </row>
    <row r="80" spans="2:11" s="18" customFormat="1" ht="38.25" x14ac:dyDescent="0.2">
      <c r="B80" s="147" t="s">
        <v>358</v>
      </c>
      <c r="C80" s="29" t="s">
        <v>14</v>
      </c>
      <c r="D80" s="30" t="s">
        <v>163</v>
      </c>
      <c r="E80" s="31" t="s">
        <v>164</v>
      </c>
      <c r="F80" s="32" t="s">
        <v>155</v>
      </c>
      <c r="G80" s="89">
        <f>VLOOKUP(B80,MC!A:J,10,FALSE)</f>
        <v>6.99</v>
      </c>
      <c r="H80" s="33">
        <v>41.84</v>
      </c>
      <c r="I80" s="34">
        <f>ROUND(H80+(H80*$K$4),2)</f>
        <v>54.31</v>
      </c>
      <c r="J80" s="34">
        <f>ROUND((G80*H80),2)</f>
        <v>292.45999999999998</v>
      </c>
      <c r="K80" s="148">
        <f>ROUND((G80*I80),2)</f>
        <v>379.63</v>
      </c>
    </row>
    <row r="81" spans="2:11" s="18" customFormat="1" ht="38.25" x14ac:dyDescent="0.2">
      <c r="B81" s="147" t="s">
        <v>445</v>
      </c>
      <c r="C81" s="29" t="s">
        <v>15</v>
      </c>
      <c r="D81" s="30" t="s">
        <v>440</v>
      </c>
      <c r="E81" s="31" t="s">
        <v>438</v>
      </c>
      <c r="F81" s="32" t="s">
        <v>162</v>
      </c>
      <c r="G81" s="89">
        <f>VLOOKUP(B81,MC!A:J,10,FALSE)</f>
        <v>10.79</v>
      </c>
      <c r="H81" s="33">
        <v>9.1199999999999992</v>
      </c>
      <c r="I81" s="34">
        <f t="shared" ref="I81:I82" si="59">ROUND(H81+(H81*$K$4),2)</f>
        <v>11.84</v>
      </c>
      <c r="J81" s="34">
        <f t="shared" ref="J81:J82" si="60">ROUND((G81*H81),2)</f>
        <v>98.4</v>
      </c>
      <c r="K81" s="148">
        <f t="shared" ref="K81:K82" si="61">ROUND((G81*I81),2)</f>
        <v>127.75</v>
      </c>
    </row>
    <row r="82" spans="2:11" s="18" customFormat="1" ht="38.25" x14ac:dyDescent="0.2">
      <c r="B82" s="147" t="s">
        <v>446</v>
      </c>
      <c r="C82" s="29" t="s">
        <v>14</v>
      </c>
      <c r="D82" s="30" t="s">
        <v>441</v>
      </c>
      <c r="E82" s="31" t="s">
        <v>439</v>
      </c>
      <c r="F82" s="32" t="s">
        <v>444</v>
      </c>
      <c r="G82" s="89">
        <f>VLOOKUP(B82,MC!A:J,10,FALSE)</f>
        <v>53.95</v>
      </c>
      <c r="H82" s="33">
        <v>2.63</v>
      </c>
      <c r="I82" s="34">
        <f t="shared" si="59"/>
        <v>3.41</v>
      </c>
      <c r="J82" s="34">
        <f t="shared" si="60"/>
        <v>141.88999999999999</v>
      </c>
      <c r="K82" s="148">
        <f t="shared" si="61"/>
        <v>183.97</v>
      </c>
    </row>
    <row r="83" spans="2:11" s="18" customFormat="1" x14ac:dyDescent="0.2">
      <c r="B83" s="149" t="s">
        <v>359</v>
      </c>
      <c r="C83" s="328" t="s">
        <v>424</v>
      </c>
      <c r="D83" s="329"/>
      <c r="E83" s="329"/>
      <c r="F83" s="329"/>
      <c r="G83" s="329"/>
      <c r="H83" s="329"/>
      <c r="I83" s="330"/>
      <c r="J83" s="88">
        <f>ROUND(SUM(J84:J89),2)</f>
        <v>2922.49</v>
      </c>
      <c r="K83" s="150">
        <f>ROUND(SUM(K84:K89),2)</f>
        <v>3792.93</v>
      </c>
    </row>
    <row r="84" spans="2:11" s="18" customFormat="1" ht="38.25" x14ac:dyDescent="0.2">
      <c r="B84" s="147" t="s">
        <v>407</v>
      </c>
      <c r="C84" s="29" t="s">
        <v>14</v>
      </c>
      <c r="D84" s="30" t="s">
        <v>347</v>
      </c>
      <c r="E84" s="31" t="s">
        <v>346</v>
      </c>
      <c r="F84" s="32" t="s">
        <v>155</v>
      </c>
      <c r="G84" s="89">
        <f>VLOOKUP(B84,MC!A:J,10,FALSE)</f>
        <v>0.14000000000000001</v>
      </c>
      <c r="H84" s="33">
        <v>4042.71</v>
      </c>
      <c r="I84" s="34">
        <f t="shared" ref="I84" si="62">ROUND(H84+(H84*$K$4),2)</f>
        <v>5247.12</v>
      </c>
      <c r="J84" s="34">
        <f t="shared" ref="J84" si="63">ROUND((G84*H84),2)</f>
        <v>565.98</v>
      </c>
      <c r="K84" s="148">
        <f t="shared" ref="K84" si="64">ROUND((G84*I84),2)</f>
        <v>734.6</v>
      </c>
    </row>
    <row r="85" spans="2:11" s="18" customFormat="1" ht="38.25" x14ac:dyDescent="0.2">
      <c r="B85" s="147" t="s">
        <v>360</v>
      </c>
      <c r="C85" s="29" t="s">
        <v>15</v>
      </c>
      <c r="D85" s="30" t="s">
        <v>135</v>
      </c>
      <c r="E85" s="31" t="s">
        <v>136</v>
      </c>
      <c r="F85" s="32" t="s">
        <v>157</v>
      </c>
      <c r="G85" s="89">
        <f>VLOOKUP(B85,MC!A:J,10,FALSE)</f>
        <v>0.91</v>
      </c>
      <c r="H85" s="33">
        <v>165.02</v>
      </c>
      <c r="I85" s="34">
        <f t="shared" ref="I85" si="65">ROUND(H85+(H85*$K$4),2)</f>
        <v>214.18</v>
      </c>
      <c r="J85" s="34">
        <f t="shared" ref="J85" si="66">ROUND((G85*H85),2)</f>
        <v>150.16999999999999</v>
      </c>
      <c r="K85" s="148">
        <f t="shared" ref="K85" si="67">ROUND((G85*I85),2)</f>
        <v>194.9</v>
      </c>
    </row>
    <row r="86" spans="2:11" s="18" customFormat="1" ht="38.25" x14ac:dyDescent="0.2">
      <c r="B86" s="147" t="s">
        <v>361</v>
      </c>
      <c r="C86" s="29" t="s">
        <v>15</v>
      </c>
      <c r="D86" s="30" t="s">
        <v>137</v>
      </c>
      <c r="E86" s="31" t="s">
        <v>138</v>
      </c>
      <c r="F86" s="32" t="s">
        <v>157</v>
      </c>
      <c r="G86" s="89">
        <f>VLOOKUP(B86,MC!A:J,10,FALSE)</f>
        <v>43.65</v>
      </c>
      <c r="H86" s="33">
        <v>8.34</v>
      </c>
      <c r="I86" s="34">
        <f t="shared" ref="I86" si="68">ROUND(H86+(H86*$K$4),2)</f>
        <v>10.82</v>
      </c>
      <c r="J86" s="34">
        <f t="shared" ref="J86" si="69">ROUND((G86*H86),2)</f>
        <v>364.04</v>
      </c>
      <c r="K86" s="148">
        <f t="shared" ref="K86" si="70">ROUND((G86*I86),2)</f>
        <v>472.29</v>
      </c>
    </row>
    <row r="87" spans="2:11" s="18" customFormat="1" ht="38.25" x14ac:dyDescent="0.2">
      <c r="B87" s="147" t="s">
        <v>362</v>
      </c>
      <c r="C87" s="29" t="s">
        <v>14</v>
      </c>
      <c r="D87" s="30" t="s">
        <v>345</v>
      </c>
      <c r="E87" s="31" t="s">
        <v>140</v>
      </c>
      <c r="F87" s="32" t="s">
        <v>156</v>
      </c>
      <c r="G87" s="89">
        <f>VLOOKUP(B87,MC!A:J,10,FALSE)</f>
        <v>43.65</v>
      </c>
      <c r="H87" s="33">
        <v>36.590000000000003</v>
      </c>
      <c r="I87" s="34">
        <f t="shared" ref="I87" si="71">ROUND(H87+(H87*$K$4),2)</f>
        <v>47.49</v>
      </c>
      <c r="J87" s="34">
        <f t="shared" ref="J87" si="72">ROUND((G87*H87),2)</f>
        <v>1597.15</v>
      </c>
      <c r="K87" s="148">
        <f t="shared" ref="K87" si="73">ROUND((G87*I87),2)</f>
        <v>2072.94</v>
      </c>
    </row>
    <row r="88" spans="2:11" s="18" customFormat="1" ht="38.25" x14ac:dyDescent="0.2">
      <c r="B88" s="147" t="s">
        <v>422</v>
      </c>
      <c r="C88" s="29" t="s">
        <v>14</v>
      </c>
      <c r="D88" s="30" t="s">
        <v>443</v>
      </c>
      <c r="E88" s="31" t="s">
        <v>442</v>
      </c>
      <c r="F88" s="32" t="s">
        <v>157</v>
      </c>
      <c r="G88" s="89">
        <f>VLOOKUP(B88,MC!A:J,10,FALSE)</f>
        <v>1.68</v>
      </c>
      <c r="H88" s="33">
        <v>50.74</v>
      </c>
      <c r="I88" s="34">
        <f t="shared" ref="I88" si="74">ROUND(H88+(H88*$K$4),2)</f>
        <v>65.86</v>
      </c>
      <c r="J88" s="34">
        <f t="shared" ref="J88" si="75">ROUND((G88*H88),2)</f>
        <v>85.24</v>
      </c>
      <c r="K88" s="148">
        <f t="shared" ref="K88" si="76">ROUND((G88*I88),2)</f>
        <v>110.64</v>
      </c>
    </row>
    <row r="89" spans="2:11" s="18" customFormat="1" ht="38.25" x14ac:dyDescent="0.2">
      <c r="B89" s="147" t="s">
        <v>423</v>
      </c>
      <c r="C89" s="29" t="s">
        <v>15</v>
      </c>
      <c r="D89" s="30" t="s">
        <v>429</v>
      </c>
      <c r="E89" s="31" t="s">
        <v>428</v>
      </c>
      <c r="F89" s="32" t="s">
        <v>162</v>
      </c>
      <c r="G89" s="89">
        <f>VLOOKUP(B89,MC!A:J,10,FALSE)</f>
        <v>0.19</v>
      </c>
      <c r="H89" s="33">
        <v>841.65</v>
      </c>
      <c r="I89" s="34">
        <f t="shared" ref="I89" si="77">ROUND(H89+(H89*$K$4),2)</f>
        <v>1092.4000000000001</v>
      </c>
      <c r="J89" s="34">
        <f t="shared" ref="J89" si="78">ROUND((G89*H89),2)</f>
        <v>159.91</v>
      </c>
      <c r="K89" s="148">
        <f t="shared" ref="K89" si="79">ROUND((G89*I89),2)</f>
        <v>207.56</v>
      </c>
    </row>
    <row r="90" spans="2:11" s="18" customFormat="1" x14ac:dyDescent="0.2">
      <c r="B90" s="149" t="s">
        <v>363</v>
      </c>
      <c r="C90" s="328" t="s">
        <v>106</v>
      </c>
      <c r="D90" s="329"/>
      <c r="E90" s="329"/>
      <c r="F90" s="329"/>
      <c r="G90" s="329"/>
      <c r="H90" s="329"/>
      <c r="I90" s="330"/>
      <c r="J90" s="88">
        <f>ROUND(SUM(J91:J94),2)</f>
        <v>4453.76</v>
      </c>
      <c r="K90" s="150">
        <f>ROUND(SUM(K91:K94),2)</f>
        <v>5780.64</v>
      </c>
    </row>
    <row r="91" spans="2:11" s="18" customFormat="1" ht="51" x14ac:dyDescent="0.2">
      <c r="B91" s="147" t="s">
        <v>364</v>
      </c>
      <c r="C91" s="47" t="s">
        <v>14</v>
      </c>
      <c r="D91" s="48" t="s">
        <v>141</v>
      </c>
      <c r="E91" s="49" t="s">
        <v>142</v>
      </c>
      <c r="F91" s="50" t="s">
        <v>156</v>
      </c>
      <c r="G91" s="89">
        <f>VLOOKUP(B91,MC!A:J,10,FALSE)</f>
        <v>2.58</v>
      </c>
      <c r="H91" s="34">
        <v>413.62</v>
      </c>
      <c r="I91" s="34">
        <f t="shared" ref="I91:I94" si="80">ROUND(H91+(H91*$K$4),2)</f>
        <v>536.85</v>
      </c>
      <c r="J91" s="34">
        <f t="shared" ref="J91:J94" si="81">ROUND((G91*H91),2)</f>
        <v>1067.1400000000001</v>
      </c>
      <c r="K91" s="148">
        <f t="shared" ref="K91:K94" si="82">ROUND((G91*I91),2)</f>
        <v>1385.07</v>
      </c>
    </row>
    <row r="92" spans="2:11" s="18" customFormat="1" ht="76.5" x14ac:dyDescent="0.2">
      <c r="B92" s="147" t="s">
        <v>365</v>
      </c>
      <c r="C92" s="47" t="s">
        <v>14</v>
      </c>
      <c r="D92" s="48" t="s">
        <v>143</v>
      </c>
      <c r="E92" s="49" t="s">
        <v>144</v>
      </c>
      <c r="F92" s="50" t="s">
        <v>63</v>
      </c>
      <c r="G92" s="89">
        <f>VLOOKUP(B92,MC!A:J,10,FALSE)</f>
        <v>1</v>
      </c>
      <c r="H92" s="34">
        <v>140.75</v>
      </c>
      <c r="I92" s="34">
        <f t="shared" si="80"/>
        <v>182.68</v>
      </c>
      <c r="J92" s="34">
        <f t="shared" si="81"/>
        <v>140.75</v>
      </c>
      <c r="K92" s="148">
        <f t="shared" si="82"/>
        <v>182.68</v>
      </c>
    </row>
    <row r="93" spans="2:11" s="18" customFormat="1" ht="25.5" x14ac:dyDescent="0.2">
      <c r="B93" s="147" t="s">
        <v>366</v>
      </c>
      <c r="C93" s="47" t="s">
        <v>14</v>
      </c>
      <c r="D93" s="48" t="s">
        <v>322</v>
      </c>
      <c r="E93" s="49" t="s">
        <v>321</v>
      </c>
      <c r="F93" s="50" t="s">
        <v>156</v>
      </c>
      <c r="G93" s="89">
        <f>VLOOKUP(B93,MC!A:J,10,FALSE)</f>
        <v>4.8</v>
      </c>
      <c r="H93" s="34">
        <v>533.15</v>
      </c>
      <c r="I93" s="34">
        <f t="shared" si="80"/>
        <v>691.99</v>
      </c>
      <c r="J93" s="34">
        <f t="shared" si="81"/>
        <v>2559.12</v>
      </c>
      <c r="K93" s="148">
        <f t="shared" si="82"/>
        <v>3321.55</v>
      </c>
    </row>
    <row r="94" spans="2:11" s="18" customFormat="1" ht="25.5" x14ac:dyDescent="0.2">
      <c r="B94" s="147" t="s">
        <v>367</v>
      </c>
      <c r="C94" s="47" t="s">
        <v>14</v>
      </c>
      <c r="D94" s="48" t="s">
        <v>172</v>
      </c>
      <c r="E94" s="49" t="s">
        <v>173</v>
      </c>
      <c r="F94" s="50" t="s">
        <v>156</v>
      </c>
      <c r="G94" s="89">
        <f>VLOOKUP(B94,MC!A:J,10,FALSE)</f>
        <v>1.68</v>
      </c>
      <c r="H94" s="34">
        <v>408.78</v>
      </c>
      <c r="I94" s="34">
        <f t="shared" si="80"/>
        <v>530.55999999999995</v>
      </c>
      <c r="J94" s="34">
        <f t="shared" si="81"/>
        <v>686.75</v>
      </c>
      <c r="K94" s="148">
        <f t="shared" si="82"/>
        <v>891.34</v>
      </c>
    </row>
    <row r="95" spans="2:11" s="18" customFormat="1" x14ac:dyDescent="0.2">
      <c r="B95" s="149" t="s">
        <v>368</v>
      </c>
      <c r="C95" s="328" t="s">
        <v>107</v>
      </c>
      <c r="D95" s="329"/>
      <c r="E95" s="329"/>
      <c r="F95" s="329"/>
      <c r="G95" s="329"/>
      <c r="H95" s="329"/>
      <c r="I95" s="330"/>
      <c r="J95" s="88">
        <f>ROUND(SUM(J96:J97),2)</f>
        <v>7814.53</v>
      </c>
      <c r="K95" s="150">
        <f>ROUND(SUM(K96:K97),2)</f>
        <v>10142.379999999999</v>
      </c>
    </row>
    <row r="96" spans="2:11" s="18" customFormat="1" ht="38.25" x14ac:dyDescent="0.2">
      <c r="B96" s="147" t="s">
        <v>369</v>
      </c>
      <c r="C96" s="47" t="s">
        <v>14</v>
      </c>
      <c r="D96" s="48" t="s">
        <v>145</v>
      </c>
      <c r="E96" s="49" t="s">
        <v>146</v>
      </c>
      <c r="F96" s="50" t="s">
        <v>156</v>
      </c>
      <c r="G96" s="89">
        <f>VLOOKUP(B96,MC!A:J,10,FALSE)</f>
        <v>54.67</v>
      </c>
      <c r="H96" s="34">
        <v>95.8</v>
      </c>
      <c r="I96" s="34">
        <f t="shared" ref="I96:I97" si="83">ROUND(H96+(H96*$K$4),2)</f>
        <v>124.34</v>
      </c>
      <c r="J96" s="34">
        <f>ROUND((G96*H96),2)</f>
        <v>5237.3900000000003</v>
      </c>
      <c r="K96" s="148">
        <f>ROUND((G96*I96),2)</f>
        <v>6797.67</v>
      </c>
    </row>
    <row r="97" spans="2:11" s="18" customFormat="1" ht="38.25" x14ac:dyDescent="0.2">
      <c r="B97" s="147" t="s">
        <v>370</v>
      </c>
      <c r="C97" s="47" t="s">
        <v>15</v>
      </c>
      <c r="D97" s="48" t="s">
        <v>147</v>
      </c>
      <c r="E97" s="49" t="s">
        <v>148</v>
      </c>
      <c r="F97" s="50" t="s">
        <v>157</v>
      </c>
      <c r="G97" s="89">
        <f>VLOOKUP(B97,MC!A:J,10,FALSE)</f>
        <v>54.67</v>
      </c>
      <c r="H97" s="34">
        <v>47.14</v>
      </c>
      <c r="I97" s="34">
        <f t="shared" si="83"/>
        <v>61.18</v>
      </c>
      <c r="J97" s="34">
        <f t="shared" ref="J97" si="84">ROUND((G97*H97),2)</f>
        <v>2577.14</v>
      </c>
      <c r="K97" s="148">
        <f t="shared" ref="K97" si="85">ROUND((G97*I97),2)</f>
        <v>3344.71</v>
      </c>
    </row>
    <row r="98" spans="2:11" s="18" customFormat="1" x14ac:dyDescent="0.2">
      <c r="B98" s="149" t="s">
        <v>371</v>
      </c>
      <c r="C98" s="328" t="s">
        <v>108</v>
      </c>
      <c r="D98" s="329"/>
      <c r="E98" s="329"/>
      <c r="F98" s="329"/>
      <c r="G98" s="329"/>
      <c r="H98" s="329"/>
      <c r="I98" s="330"/>
      <c r="J98" s="88">
        <f>ROUND(SUM(J99:J105),2)</f>
        <v>20787.330000000002</v>
      </c>
      <c r="K98" s="150">
        <f>ROUND(SUM(K99:K105),2)</f>
        <v>26980.01</v>
      </c>
    </row>
    <row r="99" spans="2:11" s="18" customFormat="1" ht="25.5" x14ac:dyDescent="0.2">
      <c r="B99" s="147" t="s">
        <v>372</v>
      </c>
      <c r="C99" s="47" t="s">
        <v>15</v>
      </c>
      <c r="D99" s="48" t="s">
        <v>149</v>
      </c>
      <c r="E99" s="49" t="s">
        <v>150</v>
      </c>
      <c r="F99" s="50" t="s">
        <v>157</v>
      </c>
      <c r="G99" s="89">
        <f>VLOOKUP(B99,MC!A:J,10,FALSE)</f>
        <v>569.98</v>
      </c>
      <c r="H99" s="34">
        <v>4.47</v>
      </c>
      <c r="I99" s="34">
        <f t="shared" ref="I99:I105" si="86">ROUND(H99+(H99*$K$4),2)</f>
        <v>5.8</v>
      </c>
      <c r="J99" s="34">
        <f>ROUND((G99*H99),2)</f>
        <v>2547.81</v>
      </c>
      <c r="K99" s="148">
        <f>ROUND((G99*I99),2)</f>
        <v>3305.88</v>
      </c>
    </row>
    <row r="100" spans="2:11" s="18" customFormat="1" ht="25.5" x14ac:dyDescent="0.2">
      <c r="B100" s="147" t="s">
        <v>373</v>
      </c>
      <c r="C100" s="47" t="s">
        <v>14</v>
      </c>
      <c r="D100" s="48" t="s">
        <v>151</v>
      </c>
      <c r="E100" s="49" t="s">
        <v>152</v>
      </c>
      <c r="F100" s="50" t="s">
        <v>156</v>
      </c>
      <c r="G100" s="89">
        <f>VLOOKUP(B100,MC!A:J,10,FALSE)</f>
        <v>569.98</v>
      </c>
      <c r="H100" s="34">
        <v>15.43</v>
      </c>
      <c r="I100" s="34">
        <f t="shared" si="86"/>
        <v>20.03</v>
      </c>
      <c r="J100" s="34">
        <f t="shared" ref="J100:J105" si="87">ROUND((G100*H100),2)</f>
        <v>8794.7900000000009</v>
      </c>
      <c r="K100" s="148">
        <f t="shared" ref="K100:K105" si="88">ROUND((G100*I100),2)</f>
        <v>11416.7</v>
      </c>
    </row>
    <row r="101" spans="2:11" s="18" customFormat="1" ht="25.5" x14ac:dyDescent="0.2">
      <c r="B101" s="147" t="s">
        <v>374</v>
      </c>
      <c r="C101" s="47" t="s">
        <v>15</v>
      </c>
      <c r="D101" s="48" t="s">
        <v>174</v>
      </c>
      <c r="E101" s="49" t="s">
        <v>175</v>
      </c>
      <c r="F101" s="50" t="s">
        <v>157</v>
      </c>
      <c r="G101" s="89">
        <f>VLOOKUP(B101,MC!A:J,10,FALSE)</f>
        <v>35.9</v>
      </c>
      <c r="H101" s="34">
        <v>5.44</v>
      </c>
      <c r="I101" s="34">
        <f t="shared" si="86"/>
        <v>7.06</v>
      </c>
      <c r="J101" s="34">
        <f t="shared" si="87"/>
        <v>195.3</v>
      </c>
      <c r="K101" s="148">
        <f t="shared" si="88"/>
        <v>253.45</v>
      </c>
    </row>
    <row r="102" spans="2:11" s="18" customFormat="1" ht="25.5" x14ac:dyDescent="0.2">
      <c r="B102" s="147" t="s">
        <v>375</v>
      </c>
      <c r="C102" s="47" t="s">
        <v>14</v>
      </c>
      <c r="D102" s="48" t="s">
        <v>176</v>
      </c>
      <c r="E102" s="49" t="s">
        <v>177</v>
      </c>
      <c r="F102" s="50" t="s">
        <v>156</v>
      </c>
      <c r="G102" s="89">
        <f>VLOOKUP(B102,MC!A:J,10,FALSE)</f>
        <v>35.9</v>
      </c>
      <c r="H102" s="34">
        <v>19.47</v>
      </c>
      <c r="I102" s="34">
        <f t="shared" si="86"/>
        <v>25.27</v>
      </c>
      <c r="J102" s="34">
        <f t="shared" si="87"/>
        <v>698.97</v>
      </c>
      <c r="K102" s="148">
        <f t="shared" si="88"/>
        <v>907.19</v>
      </c>
    </row>
    <row r="103" spans="2:11" s="18" customFormat="1" ht="25.5" x14ac:dyDescent="0.2">
      <c r="B103" s="147" t="s">
        <v>376</v>
      </c>
      <c r="C103" s="47" t="s">
        <v>14</v>
      </c>
      <c r="D103" s="48" t="s">
        <v>178</v>
      </c>
      <c r="E103" s="49" t="s">
        <v>179</v>
      </c>
      <c r="F103" s="50" t="s">
        <v>156</v>
      </c>
      <c r="G103" s="89">
        <f>VLOOKUP(B103,MC!A:J,10,FALSE)</f>
        <v>35.9</v>
      </c>
      <c r="H103" s="34">
        <v>12.98</v>
      </c>
      <c r="I103" s="34">
        <f t="shared" si="86"/>
        <v>16.850000000000001</v>
      </c>
      <c r="J103" s="34">
        <f t="shared" si="87"/>
        <v>465.98</v>
      </c>
      <c r="K103" s="148">
        <f t="shared" si="88"/>
        <v>604.91999999999996</v>
      </c>
    </row>
    <row r="104" spans="2:11" s="18" customFormat="1" ht="12.75" customHeight="1" x14ac:dyDescent="0.2">
      <c r="B104" s="147" t="s">
        <v>377</v>
      </c>
      <c r="C104" s="47" t="s">
        <v>15</v>
      </c>
      <c r="D104" s="48" t="s">
        <v>153</v>
      </c>
      <c r="E104" s="49" t="s">
        <v>154</v>
      </c>
      <c r="F104" s="50" t="s">
        <v>157</v>
      </c>
      <c r="G104" s="89">
        <f>VLOOKUP(B104,MC!A:J,10,FALSE)</f>
        <v>32.020000000000003</v>
      </c>
      <c r="H104" s="34">
        <v>55.98</v>
      </c>
      <c r="I104" s="34">
        <f t="shared" si="86"/>
        <v>72.66</v>
      </c>
      <c r="J104" s="34">
        <f t="shared" si="87"/>
        <v>1792.48</v>
      </c>
      <c r="K104" s="148">
        <f t="shared" si="88"/>
        <v>2326.5700000000002</v>
      </c>
    </row>
    <row r="105" spans="2:11" s="18" customFormat="1" ht="25.5" x14ac:dyDescent="0.2">
      <c r="B105" s="147" t="s">
        <v>378</v>
      </c>
      <c r="C105" s="47" t="s">
        <v>14</v>
      </c>
      <c r="D105" s="48" t="s">
        <v>180</v>
      </c>
      <c r="E105" s="49" t="s">
        <v>181</v>
      </c>
      <c r="F105" s="50" t="s">
        <v>182</v>
      </c>
      <c r="G105" s="89">
        <f>VLOOKUP(B105,MC!A:J,10,FALSE)</f>
        <v>286</v>
      </c>
      <c r="H105" s="34">
        <v>22</v>
      </c>
      <c r="I105" s="34">
        <f t="shared" si="86"/>
        <v>28.55</v>
      </c>
      <c r="J105" s="34">
        <f t="shared" si="87"/>
        <v>6292</v>
      </c>
      <c r="K105" s="148">
        <f t="shared" si="88"/>
        <v>8165.3</v>
      </c>
    </row>
    <row r="106" spans="2:11" s="18" customFormat="1" x14ac:dyDescent="0.2">
      <c r="B106" s="149" t="s">
        <v>379</v>
      </c>
      <c r="C106" s="328" t="s">
        <v>109</v>
      </c>
      <c r="D106" s="329"/>
      <c r="E106" s="329"/>
      <c r="F106" s="329"/>
      <c r="G106" s="329"/>
      <c r="H106" s="329"/>
      <c r="I106" s="330"/>
      <c r="J106" s="88">
        <f>ROUND(SUM(J107:J111),2)</f>
        <v>856.87</v>
      </c>
      <c r="K106" s="150">
        <f>ROUND(SUM(K107:K111),2)</f>
        <v>1111.99</v>
      </c>
    </row>
    <row r="107" spans="2:11" s="18" customFormat="1" ht="38.25" x14ac:dyDescent="0.2">
      <c r="B107" s="147" t="s">
        <v>380</v>
      </c>
      <c r="C107" s="29" t="s">
        <v>14</v>
      </c>
      <c r="D107" s="48" t="s">
        <v>183</v>
      </c>
      <c r="E107" s="49" t="s">
        <v>184</v>
      </c>
      <c r="F107" s="50" t="s">
        <v>63</v>
      </c>
      <c r="G107" s="89">
        <f>VLOOKUP(B107,MC!A:J,10,FALSE)</f>
        <v>5</v>
      </c>
      <c r="H107" s="34">
        <v>10.92</v>
      </c>
      <c r="I107" s="34">
        <f t="shared" ref="I107:I111" si="89">ROUND(H107+(H107*$K$4),2)</f>
        <v>14.17</v>
      </c>
      <c r="J107" s="34">
        <f t="shared" ref="J107:J111" si="90">ROUND((G107*H107),2)</f>
        <v>54.6</v>
      </c>
      <c r="K107" s="148">
        <f t="shared" ref="K107:K111" si="91">ROUND((G107*I107),2)</f>
        <v>70.849999999999994</v>
      </c>
    </row>
    <row r="108" spans="2:11" s="18" customFormat="1" ht="25.5" x14ac:dyDescent="0.2">
      <c r="B108" s="147" t="s">
        <v>381</v>
      </c>
      <c r="C108" s="29" t="s">
        <v>14</v>
      </c>
      <c r="D108" s="48" t="s">
        <v>327</v>
      </c>
      <c r="E108" s="49" t="s">
        <v>328</v>
      </c>
      <c r="F108" s="50" t="s">
        <v>267</v>
      </c>
      <c r="G108" s="89">
        <f>VLOOKUP(B108,MC!A:J,10,FALSE)</f>
        <v>22</v>
      </c>
      <c r="H108" s="34">
        <v>20.89</v>
      </c>
      <c r="I108" s="34">
        <f t="shared" si="89"/>
        <v>27.11</v>
      </c>
      <c r="J108" s="34">
        <f t="shared" si="90"/>
        <v>459.58</v>
      </c>
      <c r="K108" s="148">
        <f t="shared" si="91"/>
        <v>596.41999999999996</v>
      </c>
    </row>
    <row r="109" spans="2:11" s="18" customFormat="1" ht="38.25" x14ac:dyDescent="0.2">
      <c r="B109" s="147" t="s">
        <v>382</v>
      </c>
      <c r="C109" s="29" t="s">
        <v>14</v>
      </c>
      <c r="D109" s="48" t="s">
        <v>329</v>
      </c>
      <c r="E109" s="49" t="s">
        <v>330</v>
      </c>
      <c r="F109" s="50" t="s">
        <v>267</v>
      </c>
      <c r="G109" s="89">
        <f>VLOOKUP(B109,MC!A:J,10,FALSE)</f>
        <v>66</v>
      </c>
      <c r="H109" s="34">
        <v>2.99</v>
      </c>
      <c r="I109" s="34">
        <f t="shared" si="89"/>
        <v>3.88</v>
      </c>
      <c r="J109" s="34">
        <f t="shared" si="90"/>
        <v>197.34</v>
      </c>
      <c r="K109" s="148">
        <f t="shared" si="91"/>
        <v>256.08</v>
      </c>
    </row>
    <row r="110" spans="2:11" s="18" customFormat="1" ht="12.75" customHeight="1" x14ac:dyDescent="0.2">
      <c r="B110" s="147" t="s">
        <v>383</v>
      </c>
      <c r="C110" s="29" t="s">
        <v>15</v>
      </c>
      <c r="D110" s="48" t="s">
        <v>331</v>
      </c>
      <c r="E110" s="49" t="s">
        <v>332</v>
      </c>
      <c r="F110" s="50" t="s">
        <v>121</v>
      </c>
      <c r="G110" s="89">
        <f>VLOOKUP(B110,MC!A:J,10,FALSE)</f>
        <v>4</v>
      </c>
      <c r="H110" s="34">
        <v>29.01</v>
      </c>
      <c r="I110" s="34">
        <f t="shared" si="89"/>
        <v>37.65</v>
      </c>
      <c r="J110" s="34">
        <f t="shared" si="90"/>
        <v>116.04</v>
      </c>
      <c r="K110" s="148">
        <f t="shared" si="91"/>
        <v>150.6</v>
      </c>
    </row>
    <row r="111" spans="2:11" s="18" customFormat="1" ht="25.5" x14ac:dyDescent="0.2">
      <c r="B111" s="147" t="s">
        <v>384</v>
      </c>
      <c r="C111" s="29" t="s">
        <v>15</v>
      </c>
      <c r="D111" s="48" t="s">
        <v>333</v>
      </c>
      <c r="E111" s="49" t="s">
        <v>334</v>
      </c>
      <c r="F111" s="50" t="s">
        <v>121</v>
      </c>
      <c r="G111" s="89">
        <f>VLOOKUP(B111,MC!A:J,10,FALSE)</f>
        <v>1</v>
      </c>
      <c r="H111" s="34">
        <v>29.31</v>
      </c>
      <c r="I111" s="34">
        <f t="shared" si="89"/>
        <v>38.04</v>
      </c>
      <c r="J111" s="34">
        <f t="shared" si="90"/>
        <v>29.31</v>
      </c>
      <c r="K111" s="148">
        <f t="shared" si="91"/>
        <v>38.04</v>
      </c>
    </row>
    <row r="112" spans="2:11" s="18" customFormat="1" x14ac:dyDescent="0.2">
      <c r="B112" s="149" t="s">
        <v>385</v>
      </c>
      <c r="C112" s="328" t="s">
        <v>220</v>
      </c>
      <c r="D112" s="329"/>
      <c r="E112" s="329"/>
      <c r="F112" s="329"/>
      <c r="G112" s="329"/>
      <c r="H112" s="329"/>
      <c r="I112" s="330"/>
      <c r="J112" s="88">
        <f>ROUND(SUM(J113,J116),2)</f>
        <v>32181.14</v>
      </c>
      <c r="K112" s="88">
        <f>ROUND(SUM(K113,K116),2)</f>
        <v>41768.33</v>
      </c>
    </row>
    <row r="113" spans="2:11" s="18" customFormat="1" ht="12.75" customHeight="1" x14ac:dyDescent="0.2">
      <c r="B113" s="151" t="s">
        <v>386</v>
      </c>
      <c r="C113" s="341" t="s">
        <v>222</v>
      </c>
      <c r="D113" s="342"/>
      <c r="E113" s="342"/>
      <c r="F113" s="342"/>
      <c r="G113" s="342"/>
      <c r="H113" s="342"/>
      <c r="I113" s="343"/>
      <c r="J113" s="63">
        <f>ROUND(SUM(J114:J115),2)</f>
        <v>892.04</v>
      </c>
      <c r="K113" s="152">
        <f>ROUND(SUM(K114:K115),2)</f>
        <v>1157.82</v>
      </c>
    </row>
    <row r="114" spans="2:11" s="18" customFormat="1" ht="25.5" x14ac:dyDescent="0.2">
      <c r="B114" s="147" t="s">
        <v>387</v>
      </c>
      <c r="C114" s="29" t="s">
        <v>14</v>
      </c>
      <c r="D114" s="48" t="s">
        <v>239</v>
      </c>
      <c r="E114" s="49" t="s">
        <v>240</v>
      </c>
      <c r="F114" s="50" t="s">
        <v>155</v>
      </c>
      <c r="G114" s="89">
        <f>VLOOKUP(B114,MC!A:J,10,FALSE)</f>
        <v>8.4700000000000006</v>
      </c>
      <c r="H114" s="34">
        <v>71.42</v>
      </c>
      <c r="I114" s="34">
        <f t="shared" ref="I114:I115" si="92">ROUND(H114+(H114*$K$4),2)</f>
        <v>92.7</v>
      </c>
      <c r="J114" s="34">
        <f t="shared" ref="J114:J115" si="93">ROUND((G114*H114),2)</f>
        <v>604.92999999999995</v>
      </c>
      <c r="K114" s="148">
        <f t="shared" ref="K114:K115" si="94">ROUND((G114*I114),2)</f>
        <v>785.17</v>
      </c>
    </row>
    <row r="115" spans="2:11" s="18" customFormat="1" ht="12.75" customHeight="1" x14ac:dyDescent="0.2">
      <c r="B115" s="147" t="s">
        <v>388</v>
      </c>
      <c r="C115" s="29" t="s">
        <v>14</v>
      </c>
      <c r="D115" s="48" t="s">
        <v>241</v>
      </c>
      <c r="E115" s="49" t="s">
        <v>242</v>
      </c>
      <c r="F115" s="50" t="s">
        <v>155</v>
      </c>
      <c r="G115" s="89">
        <f>VLOOKUP(B115,MC!A:J,10,FALSE)</f>
        <v>4.0199999999999996</v>
      </c>
      <c r="H115" s="34">
        <v>71.42</v>
      </c>
      <c r="I115" s="34">
        <f t="shared" si="92"/>
        <v>92.7</v>
      </c>
      <c r="J115" s="34">
        <f t="shared" si="93"/>
        <v>287.11</v>
      </c>
      <c r="K115" s="148">
        <f t="shared" si="94"/>
        <v>372.65</v>
      </c>
    </row>
    <row r="116" spans="2:11" s="18" customFormat="1" ht="12.75" customHeight="1" x14ac:dyDescent="0.2">
      <c r="B116" s="151" t="s">
        <v>389</v>
      </c>
      <c r="C116" s="341" t="s">
        <v>223</v>
      </c>
      <c r="D116" s="342"/>
      <c r="E116" s="342"/>
      <c r="F116" s="342"/>
      <c r="G116" s="342"/>
      <c r="H116" s="342"/>
      <c r="I116" s="343"/>
      <c r="J116" s="63">
        <f>ROUND(SUM(J117:J128),2)</f>
        <v>31289.1</v>
      </c>
      <c r="K116" s="152">
        <f>ROUND(SUM(K117:K128),2)</f>
        <v>40610.51</v>
      </c>
    </row>
    <row r="117" spans="2:11" s="18" customFormat="1" ht="25.5" x14ac:dyDescent="0.2">
      <c r="B117" s="147" t="s">
        <v>390</v>
      </c>
      <c r="C117" s="29" t="s">
        <v>416</v>
      </c>
      <c r="D117" s="48" t="s">
        <v>61</v>
      </c>
      <c r="E117" s="49" t="s">
        <v>243</v>
      </c>
      <c r="F117" s="50" t="s">
        <v>244</v>
      </c>
      <c r="G117" s="89">
        <f>VLOOKUP(B117,MC!A:J,10,FALSE)</f>
        <v>39.200000000000003</v>
      </c>
      <c r="H117" s="34">
        <v>100.1</v>
      </c>
      <c r="I117" s="34">
        <f t="shared" ref="I117:I128" si="95">ROUND(H117+(H117*$K$4),2)</f>
        <v>129.91999999999999</v>
      </c>
      <c r="J117" s="34">
        <f t="shared" ref="J117:J128" si="96">ROUND((G117*H117),2)</f>
        <v>3923.92</v>
      </c>
      <c r="K117" s="148">
        <f t="shared" ref="K117:K128" si="97">ROUND((G117*I117),2)</f>
        <v>5092.8599999999997</v>
      </c>
    </row>
    <row r="118" spans="2:11" s="18" customFormat="1" ht="25.5" x14ac:dyDescent="0.2">
      <c r="B118" s="147" t="s">
        <v>391</v>
      </c>
      <c r="C118" s="29" t="s">
        <v>14</v>
      </c>
      <c r="D118" s="48" t="s">
        <v>245</v>
      </c>
      <c r="E118" s="49" t="s">
        <v>246</v>
      </c>
      <c r="F118" s="50" t="s">
        <v>156</v>
      </c>
      <c r="G118" s="89">
        <f>VLOOKUP(B118,MC!A:J,10,FALSE)</f>
        <v>7.84</v>
      </c>
      <c r="H118" s="34">
        <v>24.08</v>
      </c>
      <c r="I118" s="34">
        <f t="shared" si="95"/>
        <v>31.25</v>
      </c>
      <c r="J118" s="34">
        <f t="shared" si="96"/>
        <v>188.79</v>
      </c>
      <c r="K118" s="148">
        <f t="shared" si="97"/>
        <v>245</v>
      </c>
    </row>
    <row r="119" spans="2:11" s="18" customFormat="1" ht="25.5" x14ac:dyDescent="0.2">
      <c r="B119" s="147" t="s">
        <v>392</v>
      </c>
      <c r="C119" s="29" t="s">
        <v>14</v>
      </c>
      <c r="D119" s="48" t="s">
        <v>247</v>
      </c>
      <c r="E119" s="49" t="s">
        <v>248</v>
      </c>
      <c r="F119" s="50" t="s">
        <v>155</v>
      </c>
      <c r="G119" s="89">
        <f>VLOOKUP(B119,MC!A:J,10,FALSE)</f>
        <v>0.78</v>
      </c>
      <c r="H119" s="34">
        <v>397.22</v>
      </c>
      <c r="I119" s="34">
        <f t="shared" si="95"/>
        <v>515.55999999999995</v>
      </c>
      <c r="J119" s="34">
        <f t="shared" si="96"/>
        <v>309.83</v>
      </c>
      <c r="K119" s="148">
        <f t="shared" si="97"/>
        <v>402.14</v>
      </c>
    </row>
    <row r="120" spans="2:11" s="18" customFormat="1" ht="38.25" x14ac:dyDescent="0.2">
      <c r="B120" s="147" t="s">
        <v>393</v>
      </c>
      <c r="C120" s="29" t="s">
        <v>15</v>
      </c>
      <c r="D120" s="48" t="s">
        <v>249</v>
      </c>
      <c r="E120" s="49" t="s">
        <v>250</v>
      </c>
      <c r="F120" s="50" t="s">
        <v>157</v>
      </c>
      <c r="G120" s="89">
        <f>VLOOKUP(B120,MC!A:J,10,FALSE)</f>
        <v>21.12</v>
      </c>
      <c r="H120" s="34">
        <v>128.82</v>
      </c>
      <c r="I120" s="34">
        <f t="shared" si="95"/>
        <v>167.2</v>
      </c>
      <c r="J120" s="34">
        <f t="shared" si="96"/>
        <v>2720.68</v>
      </c>
      <c r="K120" s="148">
        <f t="shared" si="97"/>
        <v>3531.26</v>
      </c>
    </row>
    <row r="121" spans="2:11" s="18" customFormat="1" ht="38.25" x14ac:dyDescent="0.2">
      <c r="B121" s="147" t="s">
        <v>394</v>
      </c>
      <c r="C121" s="29" t="s">
        <v>15</v>
      </c>
      <c r="D121" s="48" t="s">
        <v>251</v>
      </c>
      <c r="E121" s="49" t="s">
        <v>252</v>
      </c>
      <c r="F121" s="50" t="s">
        <v>157</v>
      </c>
      <c r="G121" s="89">
        <f>VLOOKUP(B121,MC!A:J,10,FALSE)</f>
        <v>49.97</v>
      </c>
      <c r="H121" s="34">
        <v>96.25</v>
      </c>
      <c r="I121" s="34">
        <f t="shared" si="95"/>
        <v>124.93</v>
      </c>
      <c r="J121" s="34">
        <f t="shared" si="96"/>
        <v>4809.6099999999997</v>
      </c>
      <c r="K121" s="148">
        <f t="shared" si="97"/>
        <v>6242.75</v>
      </c>
    </row>
    <row r="122" spans="2:11" s="18" customFormat="1" ht="38.25" x14ac:dyDescent="0.2">
      <c r="B122" s="147" t="s">
        <v>395</v>
      </c>
      <c r="C122" s="29" t="s">
        <v>14</v>
      </c>
      <c r="D122" s="48" t="s">
        <v>253</v>
      </c>
      <c r="E122" s="49" t="s">
        <v>254</v>
      </c>
      <c r="F122" s="50" t="s">
        <v>156</v>
      </c>
      <c r="G122" s="89">
        <f>VLOOKUP(B122,MC!A:J,10,FALSE)</f>
        <v>16.420000000000002</v>
      </c>
      <c r="H122" s="34">
        <v>65.84</v>
      </c>
      <c r="I122" s="34">
        <f t="shared" si="95"/>
        <v>85.46</v>
      </c>
      <c r="J122" s="34">
        <f t="shared" si="96"/>
        <v>1081.0899999999999</v>
      </c>
      <c r="K122" s="148">
        <f t="shared" si="97"/>
        <v>1403.25</v>
      </c>
    </row>
    <row r="123" spans="2:11" s="18" customFormat="1" x14ac:dyDescent="0.2">
      <c r="B123" s="147" t="s">
        <v>396</v>
      </c>
      <c r="C123" s="29" t="s">
        <v>15</v>
      </c>
      <c r="D123" s="48" t="s">
        <v>255</v>
      </c>
      <c r="E123" s="49" t="s">
        <v>256</v>
      </c>
      <c r="F123" s="50" t="s">
        <v>171</v>
      </c>
      <c r="G123" s="89">
        <f>VLOOKUP(B123,MC!A:J,10,FALSE)</f>
        <v>188.6</v>
      </c>
      <c r="H123" s="34">
        <v>9.58</v>
      </c>
      <c r="I123" s="34">
        <f t="shared" si="95"/>
        <v>12.43</v>
      </c>
      <c r="J123" s="34">
        <f t="shared" si="96"/>
        <v>1806.79</v>
      </c>
      <c r="K123" s="148">
        <f t="shared" si="97"/>
        <v>2344.3000000000002</v>
      </c>
    </row>
    <row r="124" spans="2:11" s="18" customFormat="1" x14ac:dyDescent="0.2">
      <c r="B124" s="147" t="s">
        <v>397</v>
      </c>
      <c r="C124" s="29" t="s">
        <v>15</v>
      </c>
      <c r="D124" s="48" t="s">
        <v>257</v>
      </c>
      <c r="E124" s="49" t="s">
        <v>258</v>
      </c>
      <c r="F124" s="50" t="s">
        <v>171</v>
      </c>
      <c r="G124" s="89">
        <f>VLOOKUP(B124,MC!A:J,10,FALSE)</f>
        <v>173.6</v>
      </c>
      <c r="H124" s="34">
        <v>9.61</v>
      </c>
      <c r="I124" s="34">
        <f t="shared" si="95"/>
        <v>12.47</v>
      </c>
      <c r="J124" s="34">
        <f t="shared" si="96"/>
        <v>1668.3</v>
      </c>
      <c r="K124" s="148">
        <f t="shared" si="97"/>
        <v>2164.79</v>
      </c>
    </row>
    <row r="125" spans="2:11" s="18" customFormat="1" x14ac:dyDescent="0.2">
      <c r="B125" s="147" t="s">
        <v>398</v>
      </c>
      <c r="C125" s="29" t="s">
        <v>15</v>
      </c>
      <c r="D125" s="48" t="s">
        <v>259</v>
      </c>
      <c r="E125" s="49" t="s">
        <v>260</v>
      </c>
      <c r="F125" s="50" t="s">
        <v>171</v>
      </c>
      <c r="G125" s="89">
        <f>VLOOKUP(B125,MC!A:J,10,FALSE)</f>
        <v>19.399999999999999</v>
      </c>
      <c r="H125" s="34">
        <v>9.5</v>
      </c>
      <c r="I125" s="34">
        <f t="shared" si="95"/>
        <v>12.33</v>
      </c>
      <c r="J125" s="34">
        <f t="shared" si="96"/>
        <v>184.3</v>
      </c>
      <c r="K125" s="148">
        <f t="shared" si="97"/>
        <v>239.2</v>
      </c>
    </row>
    <row r="126" spans="2:11" s="18" customFormat="1" x14ac:dyDescent="0.2">
      <c r="B126" s="147" t="s">
        <v>399</v>
      </c>
      <c r="C126" s="29" t="s">
        <v>15</v>
      </c>
      <c r="D126" s="48" t="s">
        <v>261</v>
      </c>
      <c r="E126" s="49" t="s">
        <v>262</v>
      </c>
      <c r="F126" s="50" t="s">
        <v>171</v>
      </c>
      <c r="G126" s="89">
        <f>VLOOKUP(B126,MC!A:J,10,FALSE)</f>
        <v>222.2</v>
      </c>
      <c r="H126" s="34">
        <v>8.75</v>
      </c>
      <c r="I126" s="34">
        <f t="shared" si="95"/>
        <v>11.36</v>
      </c>
      <c r="J126" s="34">
        <f t="shared" si="96"/>
        <v>1944.25</v>
      </c>
      <c r="K126" s="148">
        <f t="shared" si="97"/>
        <v>2524.19</v>
      </c>
    </row>
    <row r="127" spans="2:11" s="18" customFormat="1" x14ac:dyDescent="0.2">
      <c r="B127" s="147" t="s">
        <v>400</v>
      </c>
      <c r="C127" s="29" t="s">
        <v>15</v>
      </c>
      <c r="D127" s="48" t="s">
        <v>263</v>
      </c>
      <c r="E127" s="49" t="s">
        <v>264</v>
      </c>
      <c r="F127" s="50" t="s">
        <v>171</v>
      </c>
      <c r="G127" s="89">
        <f>VLOOKUP(B127,MC!A:J,10,FALSE)</f>
        <v>54</v>
      </c>
      <c r="H127" s="34">
        <v>7.48</v>
      </c>
      <c r="I127" s="34">
        <f t="shared" si="95"/>
        <v>9.7100000000000009</v>
      </c>
      <c r="J127" s="34">
        <f t="shared" si="96"/>
        <v>403.92</v>
      </c>
      <c r="K127" s="148">
        <f t="shared" si="97"/>
        <v>524.34</v>
      </c>
    </row>
    <row r="128" spans="2:11" s="18" customFormat="1" ht="38.25" x14ac:dyDescent="0.2">
      <c r="B128" s="147" t="s">
        <v>401</v>
      </c>
      <c r="C128" s="29" t="s">
        <v>14</v>
      </c>
      <c r="D128" s="48" t="s">
        <v>265</v>
      </c>
      <c r="E128" s="49" t="s">
        <v>266</v>
      </c>
      <c r="F128" s="50" t="s">
        <v>155</v>
      </c>
      <c r="G128" s="89">
        <f>VLOOKUP(B128,MC!A:J,10,FALSE)</f>
        <v>16.5</v>
      </c>
      <c r="H128" s="34">
        <v>742.28</v>
      </c>
      <c r="I128" s="34">
        <f t="shared" si="95"/>
        <v>963.42</v>
      </c>
      <c r="J128" s="34">
        <f t="shared" si="96"/>
        <v>12247.62</v>
      </c>
      <c r="K128" s="148">
        <f t="shared" si="97"/>
        <v>15896.43</v>
      </c>
    </row>
    <row r="129" spans="2:11" s="18" customFormat="1" ht="18" customHeight="1" x14ac:dyDescent="0.2">
      <c r="B129" s="331" t="s">
        <v>34</v>
      </c>
      <c r="C129" s="332"/>
      <c r="D129" s="332"/>
      <c r="E129" s="332"/>
      <c r="F129" s="332"/>
      <c r="G129" s="332"/>
      <c r="H129" s="332"/>
      <c r="I129" s="333"/>
      <c r="J129" s="64">
        <f>J7</f>
        <v>167279.65</v>
      </c>
      <c r="K129" s="64">
        <f>K7</f>
        <v>217716.40000000002</v>
      </c>
    </row>
    <row r="130" spans="2:11" s="18" customFormat="1" ht="14.25" customHeight="1" x14ac:dyDescent="0.2">
      <c r="B130" s="344" t="s">
        <v>52</v>
      </c>
      <c r="C130" s="345"/>
      <c r="D130" s="345"/>
      <c r="E130" s="345"/>
      <c r="F130" s="345" t="s">
        <v>53</v>
      </c>
      <c r="G130" s="345"/>
      <c r="H130" s="345"/>
      <c r="I130" s="345"/>
      <c r="J130" s="345"/>
      <c r="K130" s="346"/>
    </row>
    <row r="131" spans="2:11" s="18" customFormat="1" ht="14.25" hidden="1" customHeight="1" x14ac:dyDescent="0.2">
      <c r="B131" s="153"/>
      <c r="C131" s="154"/>
      <c r="D131" s="154"/>
      <c r="E131" s="154"/>
      <c r="F131" s="154"/>
      <c r="G131" s="154"/>
      <c r="H131" s="154"/>
      <c r="I131" s="154"/>
      <c r="J131" s="154"/>
      <c r="K131" s="155"/>
    </row>
    <row r="132" spans="2:11" s="18" customFormat="1" ht="14.25" customHeight="1" x14ac:dyDescent="0.2">
      <c r="B132" s="335" t="s">
        <v>54</v>
      </c>
      <c r="C132" s="336"/>
      <c r="D132" s="336"/>
      <c r="E132" s="336"/>
      <c r="F132" s="336" t="s">
        <v>64</v>
      </c>
      <c r="G132" s="336"/>
      <c r="H132" s="336"/>
      <c r="I132" s="336"/>
      <c r="J132" s="336"/>
      <c r="K132" s="339"/>
    </row>
    <row r="133" spans="2:11" s="18" customFormat="1" x14ac:dyDescent="0.2">
      <c r="B133" s="335"/>
      <c r="C133" s="336"/>
      <c r="D133" s="336"/>
      <c r="E133" s="336"/>
      <c r="F133" s="336"/>
      <c r="G133" s="336"/>
      <c r="H133" s="336"/>
      <c r="I133" s="336"/>
      <c r="J133" s="336"/>
      <c r="K133" s="339"/>
    </row>
    <row r="134" spans="2:11" s="18" customFormat="1" ht="11.25" customHeight="1" x14ac:dyDescent="0.2">
      <c r="B134" s="335"/>
      <c r="C134" s="336"/>
      <c r="D134" s="336"/>
      <c r="E134" s="336"/>
      <c r="F134" s="336"/>
      <c r="G134" s="336"/>
      <c r="H134" s="336"/>
      <c r="I134" s="336"/>
      <c r="J134" s="336"/>
      <c r="K134" s="339"/>
    </row>
    <row r="135" spans="2:11" s="18" customFormat="1" x14ac:dyDescent="0.2">
      <c r="B135" s="335"/>
      <c r="C135" s="336"/>
      <c r="D135" s="336"/>
      <c r="E135" s="336"/>
      <c r="F135" s="336"/>
      <c r="G135" s="336"/>
      <c r="H135" s="336"/>
      <c r="I135" s="336"/>
      <c r="J135" s="336"/>
      <c r="K135" s="339"/>
    </row>
    <row r="136" spans="2:11" s="18" customFormat="1" x14ac:dyDescent="0.2">
      <c r="B136" s="335"/>
      <c r="C136" s="336"/>
      <c r="D136" s="336"/>
      <c r="E136" s="336"/>
      <c r="F136" s="336"/>
      <c r="G136" s="336"/>
      <c r="H136" s="336"/>
      <c r="I136" s="336"/>
      <c r="J136" s="336"/>
      <c r="K136" s="339"/>
    </row>
    <row r="137" spans="2:11" s="18" customFormat="1" x14ac:dyDescent="0.2">
      <c r="B137" s="335"/>
      <c r="C137" s="336"/>
      <c r="D137" s="336"/>
      <c r="E137" s="336"/>
      <c r="F137" s="336"/>
      <c r="G137" s="336"/>
      <c r="H137" s="336"/>
      <c r="I137" s="336"/>
      <c r="J137" s="336"/>
      <c r="K137" s="339"/>
    </row>
    <row r="138" spans="2:11" s="18" customFormat="1" x14ac:dyDescent="0.2">
      <c r="B138" s="335"/>
      <c r="C138" s="336"/>
      <c r="D138" s="336"/>
      <c r="E138" s="336"/>
      <c r="F138" s="336"/>
      <c r="G138" s="336"/>
      <c r="H138" s="336"/>
      <c r="I138" s="336"/>
      <c r="J138" s="336"/>
      <c r="K138" s="339"/>
    </row>
    <row r="139" spans="2:11" s="18" customFormat="1" ht="11.25" customHeight="1" thickBot="1" x14ac:dyDescent="0.25">
      <c r="B139" s="337"/>
      <c r="C139" s="338"/>
      <c r="D139" s="338"/>
      <c r="E139" s="338"/>
      <c r="F139" s="338"/>
      <c r="G139" s="338"/>
      <c r="H139" s="338"/>
      <c r="I139" s="338"/>
      <c r="J139" s="338"/>
      <c r="K139" s="340"/>
    </row>
    <row r="140" spans="2:11" s="18" customFormat="1" ht="11.25" customHeight="1" x14ac:dyDescent="0.2"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2:11" x14ac:dyDescent="0.2">
      <c r="H141" s="35"/>
      <c r="I141" s="35"/>
      <c r="J141" s="35"/>
    </row>
    <row r="142" spans="2:11" x14ac:dyDescent="0.2">
      <c r="H142" s="35"/>
      <c r="I142" s="35"/>
      <c r="J142" s="35"/>
    </row>
    <row r="143" spans="2:11" x14ac:dyDescent="0.2">
      <c r="H143" s="35"/>
      <c r="I143" s="35"/>
      <c r="J143" s="35"/>
    </row>
    <row r="144" spans="2:11" x14ac:dyDescent="0.2">
      <c r="H144" s="35"/>
      <c r="I144" s="35"/>
      <c r="J144" s="35"/>
    </row>
    <row r="145" s="35" customFormat="1" x14ac:dyDescent="0.2"/>
    <row r="146" s="35" customFormat="1" x14ac:dyDescent="0.2"/>
    <row r="147" s="35" customFormat="1" x14ac:dyDescent="0.2"/>
    <row r="148" s="35" customFormat="1" x14ac:dyDescent="0.2"/>
    <row r="149" s="35" customFormat="1" x14ac:dyDescent="0.2"/>
    <row r="150" s="35" customFormat="1" x14ac:dyDescent="0.2"/>
    <row r="151" s="35" customFormat="1" x14ac:dyDescent="0.2"/>
    <row r="152" s="35" customFormat="1" x14ac:dyDescent="0.2"/>
    <row r="153" s="35" customFormat="1" x14ac:dyDescent="0.2"/>
    <row r="154" s="35" customFormat="1" x14ac:dyDescent="0.2"/>
    <row r="155" s="35" customFormat="1" x14ac:dyDescent="0.2"/>
    <row r="156" s="35" customFormat="1" x14ac:dyDescent="0.2"/>
    <row r="157" s="35" customFormat="1" x14ac:dyDescent="0.2"/>
    <row r="158" s="35" customFormat="1" x14ac:dyDescent="0.2"/>
    <row r="159" s="35" customFormat="1" x14ac:dyDescent="0.2"/>
    <row r="160" s="35" customFormat="1" x14ac:dyDescent="0.2"/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</sheetData>
  <mergeCells count="39">
    <mergeCell ref="B4:F4"/>
    <mergeCell ref="J4:J5"/>
    <mergeCell ref="K4:K5"/>
    <mergeCell ref="B5:F5"/>
    <mergeCell ref="G4:G5"/>
    <mergeCell ref="H4:I4"/>
    <mergeCell ref="H5:I5"/>
    <mergeCell ref="B1:K1"/>
    <mergeCell ref="I2:K2"/>
    <mergeCell ref="J3:K3"/>
    <mergeCell ref="B3:H3"/>
    <mergeCell ref="B2:H2"/>
    <mergeCell ref="B132:E139"/>
    <mergeCell ref="F132:K139"/>
    <mergeCell ref="C30:I30"/>
    <mergeCell ref="C69:I69"/>
    <mergeCell ref="C52:I52"/>
    <mergeCell ref="C53:I53"/>
    <mergeCell ref="C56:I56"/>
    <mergeCell ref="C112:I112"/>
    <mergeCell ref="C95:I95"/>
    <mergeCell ref="C98:I98"/>
    <mergeCell ref="C106:I106"/>
    <mergeCell ref="B130:E130"/>
    <mergeCell ref="F130:K130"/>
    <mergeCell ref="C113:I113"/>
    <mergeCell ref="C116:I116"/>
    <mergeCell ref="B7:I7"/>
    <mergeCell ref="C83:I83"/>
    <mergeCell ref="C90:I90"/>
    <mergeCell ref="B129:I129"/>
    <mergeCell ref="C35:I35"/>
    <mergeCell ref="C24:I24"/>
    <mergeCell ref="C8:I8"/>
    <mergeCell ref="C38:I38"/>
    <mergeCell ref="C46:I46"/>
    <mergeCell ref="C70:I70"/>
    <mergeCell ref="C10:I10"/>
    <mergeCell ref="C11:I11"/>
  </mergeCells>
  <phoneticPr fontId="9" type="noConversion"/>
  <pageMargins left="0.25" right="0.25" top="0.75" bottom="0.75" header="0.3" footer="0.3"/>
  <pageSetup paperSize="9" scale="81" fitToHeight="0" orientation="landscape" horizontalDpi="360" verticalDpi="360" r:id="rId1"/>
  <headerFooter>
    <oddFooter>Página &amp;P de &amp;N</oddFooter>
  </headerFooter>
  <rowBreaks count="3" manualBreakCount="3">
    <brk id="34" min="1" max="10" man="1"/>
    <brk id="68" min="1" max="10" man="1"/>
    <brk id="115" min="1" max="10" man="1"/>
  </rowBreaks>
  <ignoredErrors>
    <ignoredError sqref="C8:I8 D35:I35 B129:I129 I25 I36 I9:K9 D11:I11 D24:I2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1"/>
  <sheetViews>
    <sheetView view="pageBreakPreview" topLeftCell="A13" zoomScaleNormal="100" zoomScaleSheetLayoutView="100" workbookViewId="0">
      <selection activeCell="A7" sqref="A7"/>
    </sheetView>
  </sheetViews>
  <sheetFormatPr defaultRowHeight="15" x14ac:dyDescent="0.25"/>
  <cols>
    <col min="1" max="1" width="15.7109375" customWidth="1"/>
    <col min="2" max="2" width="40.7109375" customWidth="1"/>
    <col min="4" max="4" width="9.7109375" bestFit="1" customWidth="1"/>
    <col min="5" max="5" width="11.7109375" bestFit="1" customWidth="1"/>
    <col min="6" max="6" width="12.140625" bestFit="1" customWidth="1"/>
    <col min="7" max="7" width="13.85546875" bestFit="1" customWidth="1"/>
    <col min="8" max="8" width="11.5703125" bestFit="1" customWidth="1"/>
    <col min="9" max="9" width="15" bestFit="1" customWidth="1"/>
  </cols>
  <sheetData>
    <row r="1" spans="1:11" s="18" customFormat="1" ht="45" customHeight="1" thickBot="1" x14ac:dyDescent="0.25">
      <c r="A1" s="368" t="s">
        <v>56</v>
      </c>
      <c r="B1" s="369"/>
      <c r="C1" s="369"/>
      <c r="D1" s="369"/>
      <c r="E1" s="369"/>
      <c r="F1" s="369"/>
      <c r="G1" s="369"/>
      <c r="H1" s="369"/>
      <c r="I1" s="370"/>
    </row>
    <row r="2" spans="1:11" ht="16.149999999999999" customHeight="1" x14ac:dyDescent="0.25">
      <c r="A2" s="377" t="str">
        <f>ORÇAMENTO!B2</f>
        <v>PREFEITURA MUNICIPAL DE SÃO FRANCISCO-MG</v>
      </c>
      <c r="B2" s="382"/>
      <c r="C2" s="382"/>
      <c r="D2" s="382"/>
      <c r="E2" s="382"/>
      <c r="F2" s="382"/>
      <c r="G2" s="383"/>
      <c r="H2" s="56" t="s">
        <v>4</v>
      </c>
      <c r="I2" s="159">
        <f ca="1">TODAY()</f>
        <v>46010</v>
      </c>
    </row>
    <row r="3" spans="1:11" ht="30" customHeight="1" x14ac:dyDescent="0.25">
      <c r="A3" s="371" t="str">
        <f>ORÇAMENTO!B3</f>
        <v>OBRA: REFORMA DE CASAS DE BOMBAS PARA DRENAGEM DE ÁGUAS PLUVIAIS EM BACIAS DE ACUMULAÇÃO NO MUNICÍPIO DE SÃO FRANCISCO-MG</v>
      </c>
      <c r="B3" s="372"/>
      <c r="C3" s="372"/>
      <c r="D3" s="372"/>
      <c r="E3" s="373"/>
      <c r="F3" s="378" t="s">
        <v>28</v>
      </c>
      <c r="G3" s="379"/>
      <c r="H3" s="379"/>
      <c r="I3" s="380"/>
    </row>
    <row r="4" spans="1:11" ht="26.25" customHeight="1" x14ac:dyDescent="0.25">
      <c r="A4" s="377" t="str">
        <f>ORÇAMENTO!B4</f>
        <v>LOCAL: RUA DE GESÉLIO GENEROSO E AVENIDA PRESIDENTE DUTRA, S/N EM SÃO FRANCISCO-MG</v>
      </c>
      <c r="B4" s="372"/>
      <c r="C4" s="372"/>
      <c r="D4" s="372"/>
      <c r="E4" s="373"/>
      <c r="F4" s="97" t="s">
        <v>57</v>
      </c>
      <c r="G4" s="98" t="s">
        <v>58</v>
      </c>
      <c r="H4" s="98" t="s">
        <v>59</v>
      </c>
      <c r="I4" s="160" t="s">
        <v>60</v>
      </c>
      <c r="J4" s="95"/>
      <c r="K4" s="95"/>
    </row>
    <row r="5" spans="1:11" ht="28.5" customHeight="1" thickBot="1" x14ac:dyDescent="0.3">
      <c r="A5" s="374" t="str">
        <f>ORÇAMENTO!B5</f>
        <v>REGIÃO/MÊS DE REFERÊNCIA: SINAPI DES 09/2025 - SETOP DES 07/2025 NORTE - ORESE  09/2025 - COMPOSIÇÕES PRÓPRIAS</v>
      </c>
      <c r="B5" s="375"/>
      <c r="C5" s="375"/>
      <c r="D5" s="375"/>
      <c r="E5" s="376"/>
      <c r="F5" s="378" t="str">
        <f>ORÇAMENTO!I2</f>
        <v>PRAZO DE EXECUÇÃO: 03 MESES</v>
      </c>
      <c r="G5" s="379"/>
      <c r="H5" s="379"/>
      <c r="I5" s="380"/>
    </row>
    <row r="6" spans="1:11" ht="30" customHeight="1" thickBot="1" x14ac:dyDescent="0.3">
      <c r="A6" s="158" t="s">
        <v>61</v>
      </c>
      <c r="B6" s="381" t="s">
        <v>243</v>
      </c>
      <c r="C6" s="381"/>
      <c r="D6" s="381"/>
      <c r="E6" s="381"/>
      <c r="F6" s="384" t="s">
        <v>244</v>
      </c>
      <c r="G6" s="384"/>
      <c r="H6" s="385">
        <f>I11</f>
        <v>100.1</v>
      </c>
      <c r="I6" s="386"/>
    </row>
    <row r="7" spans="1:11" ht="24" x14ac:dyDescent="0.25">
      <c r="A7" s="161" t="s">
        <v>11</v>
      </c>
      <c r="B7" s="156" t="s">
        <v>12</v>
      </c>
      <c r="C7" s="156" t="s">
        <v>13</v>
      </c>
      <c r="D7" s="156" t="s">
        <v>115</v>
      </c>
      <c r="E7" s="156" t="s">
        <v>116</v>
      </c>
      <c r="F7" s="157" t="s">
        <v>117</v>
      </c>
      <c r="G7" s="156"/>
      <c r="H7" s="156"/>
      <c r="I7" s="162" t="s">
        <v>1</v>
      </c>
    </row>
    <row r="8" spans="1:11" ht="24" x14ac:dyDescent="0.25">
      <c r="A8" s="163" t="s">
        <v>412</v>
      </c>
      <c r="B8" s="87" t="s">
        <v>410</v>
      </c>
      <c r="C8" s="57" t="s">
        <v>15</v>
      </c>
      <c r="D8" s="85" t="s">
        <v>41</v>
      </c>
      <c r="E8" s="85">
        <v>1.103</v>
      </c>
      <c r="F8" s="86">
        <v>28.6</v>
      </c>
      <c r="G8" s="58"/>
      <c r="H8" s="58"/>
      <c r="I8" s="164">
        <f>E8*F8</f>
        <v>31.5458</v>
      </c>
    </row>
    <row r="9" spans="1:11" ht="24" x14ac:dyDescent="0.25">
      <c r="A9" s="163" t="s">
        <v>413</v>
      </c>
      <c r="B9" s="87" t="s">
        <v>411</v>
      </c>
      <c r="C9" s="57" t="s">
        <v>15</v>
      </c>
      <c r="D9" s="85" t="s">
        <v>41</v>
      </c>
      <c r="E9" s="85">
        <v>1.103</v>
      </c>
      <c r="F9" s="86">
        <v>20.92</v>
      </c>
      <c r="G9" s="58"/>
      <c r="H9" s="58"/>
      <c r="I9" s="164">
        <f>E9*F9</f>
        <v>23.074760000000001</v>
      </c>
    </row>
    <row r="10" spans="1:11" ht="48" x14ac:dyDescent="0.25">
      <c r="A10" s="163" t="s">
        <v>414</v>
      </c>
      <c r="B10" s="87" t="s">
        <v>415</v>
      </c>
      <c r="C10" s="57" t="s">
        <v>15</v>
      </c>
      <c r="D10" s="85" t="s">
        <v>162</v>
      </c>
      <c r="E10" s="85">
        <v>8.5999999999999993E-2</v>
      </c>
      <c r="F10" s="85">
        <v>528.80999999999995</v>
      </c>
      <c r="G10" s="58"/>
      <c r="H10" s="58"/>
      <c r="I10" s="164">
        <f>E10*F10</f>
        <v>45.477659999999993</v>
      </c>
    </row>
    <row r="11" spans="1:11" x14ac:dyDescent="0.25">
      <c r="A11" s="390" t="s">
        <v>118</v>
      </c>
      <c r="B11" s="391"/>
      <c r="C11" s="391"/>
      <c r="D11" s="391"/>
      <c r="E11" s="391"/>
      <c r="F11" s="391"/>
      <c r="G11" s="391"/>
      <c r="H11" s="391"/>
      <c r="I11" s="165">
        <f>ROUND(SUM(I8:I10),2)</f>
        <v>100.1</v>
      </c>
    </row>
    <row r="12" spans="1:11" ht="15" customHeight="1" x14ac:dyDescent="0.25">
      <c r="A12" s="387" t="str">
        <f>ORÇAMENTO!B130</f>
        <v xml:space="preserve">RESPONSÁVEL TÉCNICO: </v>
      </c>
      <c r="B12" s="388"/>
      <c r="C12" s="388"/>
      <c r="D12" s="388"/>
      <c r="E12" s="388" t="str">
        <f>ORÇAMENTO!F130</f>
        <v xml:space="preserve">RESPONSÁVEL LEGAL: </v>
      </c>
      <c r="F12" s="388"/>
      <c r="G12" s="388"/>
      <c r="H12" s="388"/>
      <c r="I12" s="389"/>
      <c r="J12" s="59"/>
    </row>
    <row r="13" spans="1:11" x14ac:dyDescent="0.25">
      <c r="A13" s="335" t="str">
        <f>ORÇAMENTO!B132</f>
        <v>______________________________________________
GERALDO DIAS PEREIRA JÚNIOR
ENGENHEIRO CIVIL - CREA:  248.562/D - MG</v>
      </c>
      <c r="B13" s="336"/>
      <c r="C13" s="336"/>
      <c r="D13" s="336"/>
      <c r="E13" s="336" t="str">
        <f>ORÇAMENTO!F132</f>
        <v>_________________________________________
MIGUEL PAULO SOUZA FILHO
PREFEITO MUNICIPAL DE SÃO FRANCISCO</v>
      </c>
      <c r="F13" s="336"/>
      <c r="G13" s="336"/>
      <c r="H13" s="336"/>
      <c r="I13" s="339"/>
      <c r="J13" s="55"/>
    </row>
    <row r="14" spans="1:11" ht="15" customHeight="1" x14ac:dyDescent="0.25">
      <c r="A14" s="335"/>
      <c r="B14" s="336"/>
      <c r="C14" s="336"/>
      <c r="D14" s="336"/>
      <c r="E14" s="336"/>
      <c r="F14" s="336"/>
      <c r="G14" s="336"/>
      <c r="H14" s="336"/>
      <c r="I14" s="339"/>
      <c r="J14" s="60"/>
    </row>
    <row r="15" spans="1:11" x14ac:dyDescent="0.25">
      <c r="A15" s="335"/>
      <c r="B15" s="336"/>
      <c r="C15" s="336"/>
      <c r="D15" s="336"/>
      <c r="E15" s="336"/>
      <c r="F15" s="336"/>
      <c r="G15" s="336"/>
      <c r="H15" s="336"/>
      <c r="I15" s="339"/>
      <c r="J15" s="60"/>
    </row>
    <row r="16" spans="1:11" ht="15" customHeight="1" x14ac:dyDescent="0.25">
      <c r="A16" s="335"/>
      <c r="B16" s="336"/>
      <c r="C16" s="336"/>
      <c r="D16" s="336"/>
      <c r="E16" s="336"/>
      <c r="F16" s="336"/>
      <c r="G16" s="336"/>
      <c r="H16" s="336"/>
      <c r="I16" s="339"/>
      <c r="J16" s="60"/>
    </row>
    <row r="17" spans="1:10" x14ac:dyDescent="0.25">
      <c r="A17" s="335"/>
      <c r="B17" s="336"/>
      <c r="C17" s="336"/>
      <c r="D17" s="336"/>
      <c r="E17" s="336"/>
      <c r="F17" s="336"/>
      <c r="G17" s="336"/>
      <c r="H17" s="336"/>
      <c r="I17" s="339"/>
      <c r="J17" s="60"/>
    </row>
    <row r="18" spans="1:10" x14ac:dyDescent="0.25">
      <c r="A18" s="335"/>
      <c r="B18" s="336"/>
      <c r="C18" s="336"/>
      <c r="D18" s="336"/>
      <c r="E18" s="336"/>
      <c r="F18" s="336"/>
      <c r="G18" s="336"/>
      <c r="H18" s="336"/>
      <c r="I18" s="339"/>
      <c r="J18" s="60"/>
    </row>
    <row r="19" spans="1:10" x14ac:dyDescent="0.25">
      <c r="A19" s="335"/>
      <c r="B19" s="336"/>
      <c r="C19" s="336"/>
      <c r="D19" s="336"/>
      <c r="E19" s="336"/>
      <c r="F19" s="336"/>
      <c r="G19" s="336"/>
      <c r="H19" s="336"/>
      <c r="I19" s="339"/>
      <c r="J19" s="60"/>
    </row>
    <row r="20" spans="1:10" x14ac:dyDescent="0.25">
      <c r="A20" s="335"/>
      <c r="B20" s="336"/>
      <c r="C20" s="336"/>
      <c r="D20" s="336"/>
      <c r="E20" s="336"/>
      <c r="F20" s="336"/>
      <c r="G20" s="336"/>
      <c r="H20" s="336"/>
      <c r="I20" s="339"/>
      <c r="J20" s="60"/>
    </row>
    <row r="21" spans="1:10" ht="15.75" thickBot="1" x14ac:dyDescent="0.3">
      <c r="A21" s="337"/>
      <c r="B21" s="338"/>
      <c r="C21" s="338"/>
      <c r="D21" s="338"/>
      <c r="E21" s="338"/>
      <c r="F21" s="338"/>
      <c r="G21" s="338"/>
      <c r="H21" s="338"/>
      <c r="I21" s="340"/>
      <c r="J21" s="60"/>
    </row>
  </sheetData>
  <mergeCells count="15">
    <mergeCell ref="A13:D21"/>
    <mergeCell ref="E13:I21"/>
    <mergeCell ref="A12:D12"/>
    <mergeCell ref="E12:I12"/>
    <mergeCell ref="A11:H11"/>
    <mergeCell ref="B6:E6"/>
    <mergeCell ref="A2:G2"/>
    <mergeCell ref="F3:I3"/>
    <mergeCell ref="F6:G6"/>
    <mergeCell ref="H6:I6"/>
    <mergeCell ref="A1:I1"/>
    <mergeCell ref="A3:E3"/>
    <mergeCell ref="A5:E5"/>
    <mergeCell ref="A4:E4"/>
    <mergeCell ref="F5:I5"/>
  </mergeCells>
  <phoneticPr fontId="9" type="noConversion"/>
  <pageMargins left="0.31496062992125984" right="0.23622047244094491" top="0.74803149606299213" bottom="0.74803149606299213" header="0.31496062992125984" footer="0.31496062992125984"/>
  <pageSetup paperSize="9" scale="70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2"/>
  <sheetViews>
    <sheetView tabSelected="1" view="pageBreakPreview" zoomScaleNormal="100" zoomScaleSheetLayoutView="100" workbookViewId="0">
      <selection activeCell="D45" sqref="D45:G52"/>
    </sheetView>
  </sheetViews>
  <sheetFormatPr defaultRowHeight="15" x14ac:dyDescent="0.25"/>
  <cols>
    <col min="1" max="1" width="16.7109375" style="14" customWidth="1"/>
    <col min="2" max="2" width="40.85546875" style="14" customWidth="1"/>
    <col min="3" max="4" width="16.7109375" style="13" customWidth="1"/>
    <col min="5" max="7" width="16.7109375" style="14" customWidth="1"/>
  </cols>
  <sheetData>
    <row r="1" spans="1:11" s="18" customFormat="1" ht="45" customHeight="1" thickBot="1" x14ac:dyDescent="0.25">
      <c r="A1" s="368" t="s">
        <v>17</v>
      </c>
      <c r="B1" s="369"/>
      <c r="C1" s="369"/>
      <c r="D1" s="369"/>
      <c r="E1" s="369"/>
      <c r="F1" s="369"/>
      <c r="G1" s="370"/>
      <c r="H1" s="19"/>
      <c r="I1" s="19"/>
    </row>
    <row r="2" spans="1:11" ht="17.100000000000001" customHeight="1" x14ac:dyDescent="0.25">
      <c r="A2" s="413" t="str">
        <f>ORÇAMENTO!B2</f>
        <v>PREFEITURA MUNICIPAL DE SÃO FRANCISCO-MG</v>
      </c>
      <c r="B2" s="414"/>
      <c r="C2" s="414"/>
      <c r="D2" s="414"/>
      <c r="E2" s="414"/>
      <c r="F2" s="44" t="s">
        <v>4</v>
      </c>
      <c r="G2" s="166">
        <f ca="1">TODAY()</f>
        <v>46010</v>
      </c>
      <c r="H2" s="19"/>
    </row>
    <row r="3" spans="1:11" ht="30" customHeight="1" x14ac:dyDescent="0.25">
      <c r="A3" s="413" t="str">
        <f>ORÇAMENTO!B3</f>
        <v>OBRA: REFORMA DE CASAS DE BOMBAS PARA DRENAGEM DE ÁGUAS PLUVIAIS EM BACIAS DE ACUMULAÇÃO NO MUNICÍPIO DE SÃO FRANCISCO-MG</v>
      </c>
      <c r="B3" s="414"/>
      <c r="C3" s="414"/>
      <c r="D3" s="414"/>
      <c r="E3" s="414"/>
      <c r="F3" s="417" t="s">
        <v>28</v>
      </c>
      <c r="G3" s="418"/>
      <c r="H3" s="19"/>
    </row>
    <row r="4" spans="1:11" ht="26.25" customHeight="1" x14ac:dyDescent="0.25">
      <c r="A4" s="413" t="str">
        <f>ORÇAMENTO!B4</f>
        <v>LOCAL: RUA DE GESÉLIO GENEROSO E AVENIDA PRESIDENTE DUTRA, S/N EM SÃO FRANCISCO-MG</v>
      </c>
      <c r="B4" s="414"/>
      <c r="C4" s="414"/>
      <c r="D4" s="414"/>
      <c r="E4" s="414"/>
      <c r="F4" s="44" t="s">
        <v>37</v>
      </c>
      <c r="G4" s="167" t="s">
        <v>38</v>
      </c>
      <c r="H4" s="59"/>
      <c r="I4" s="95"/>
      <c r="J4" s="95"/>
      <c r="K4" s="95"/>
    </row>
    <row r="5" spans="1:11" ht="30" customHeight="1" x14ac:dyDescent="0.25">
      <c r="A5" s="413" t="str">
        <f>ORÇAMENTO!B5</f>
        <v>REGIÃO/MÊS DE REFERÊNCIA: SINAPI DES 09/2025 - SETOP DES 07/2025 NORTE - ORESE  09/2025 - COMPOSIÇÕES PRÓPRIAS</v>
      </c>
      <c r="B5" s="414"/>
      <c r="C5" s="414"/>
      <c r="D5" s="414"/>
      <c r="E5" s="414"/>
      <c r="F5" s="419">
        <f>ORÇAMENTO!K129</f>
        <v>217716.40000000002</v>
      </c>
      <c r="G5" s="420"/>
      <c r="H5" s="19"/>
    </row>
    <row r="6" spans="1:11" ht="14.1" customHeight="1" x14ac:dyDescent="0.25">
      <c r="A6" s="421" t="s">
        <v>10</v>
      </c>
      <c r="B6" s="423" t="s">
        <v>24</v>
      </c>
      <c r="C6" s="425" t="s">
        <v>25</v>
      </c>
      <c r="D6" s="426"/>
      <c r="E6" s="415" t="s">
        <v>18</v>
      </c>
      <c r="F6" s="415"/>
      <c r="G6" s="416"/>
      <c r="J6" s="43"/>
    </row>
    <row r="7" spans="1:11" ht="14.1" customHeight="1" x14ac:dyDescent="0.25">
      <c r="A7" s="422"/>
      <c r="B7" s="424"/>
      <c r="C7" s="427"/>
      <c r="D7" s="428"/>
      <c r="E7" s="15" t="s">
        <v>19</v>
      </c>
      <c r="F7" s="15" t="s">
        <v>20</v>
      </c>
      <c r="G7" s="168" t="s">
        <v>51</v>
      </c>
    </row>
    <row r="8" spans="1:11" x14ac:dyDescent="0.25">
      <c r="A8" s="404" t="str">
        <f>ORÇAMENTO!B7</f>
        <v xml:space="preserve"> REFORMA DE CASA DE BOMBAS PARA DRENAGEM DE ÁGUAS PLUVIAIS EM BACIA DE ACUMULAÇÃO </v>
      </c>
      <c r="B8" s="405"/>
      <c r="C8" s="110" t="s">
        <v>22</v>
      </c>
      <c r="D8" s="99">
        <f>D9/F5</f>
        <v>1</v>
      </c>
      <c r="E8" s="99">
        <f>E9/$D$9</f>
        <v>0.32902065714847389</v>
      </c>
      <c r="F8" s="99">
        <f t="shared" ref="F8:G8" si="0">F9/$D$9</f>
        <v>0.3257776860172224</v>
      </c>
      <c r="G8" s="169">
        <f t="shared" si="0"/>
        <v>0.34520165683430371</v>
      </c>
    </row>
    <row r="9" spans="1:11" x14ac:dyDescent="0.25">
      <c r="A9" s="406"/>
      <c r="B9" s="405"/>
      <c r="C9" s="111" t="s">
        <v>21</v>
      </c>
      <c r="D9" s="100">
        <f>F5</f>
        <v>217716.40000000002</v>
      </c>
      <c r="E9" s="100">
        <f>E11+E13+E15+E17+E19+E21+E23+E25+E27+E29+E31+E33+E35+E37+E39</f>
        <v>71633.193000000014</v>
      </c>
      <c r="F9" s="100">
        <f t="shared" ref="F9" si="1">F11+F13+F15+F17+F19+F21+F23+F25+F27+F29+F31+F33+F35+F37+F39</f>
        <v>70927.145000000004</v>
      </c>
      <c r="G9" s="170">
        <f>G11+G13+G15+G17+G19+G21+G23+G25+G27+G29+G31+G33+G35+G37+G39</f>
        <v>75156.062000000005</v>
      </c>
    </row>
    <row r="10" spans="1:11" ht="15" customHeight="1" x14ac:dyDescent="0.25">
      <c r="A10" s="407">
        <v>1</v>
      </c>
      <c r="B10" s="408" t="str">
        <f>VLOOKUP(A10,ORÇAMENTO!B:K,2,FALSE)</f>
        <v xml:space="preserve">SERVIÇOS PRELIMINARES </v>
      </c>
      <c r="C10" s="107" t="s">
        <v>22</v>
      </c>
      <c r="D10" s="101">
        <f>D11/$D$9</f>
        <v>6.7405119687814043E-3</v>
      </c>
      <c r="E10" s="102">
        <v>1</v>
      </c>
      <c r="F10" s="102"/>
      <c r="G10" s="171"/>
      <c r="I10" s="16">
        <f>E10+F10+G10</f>
        <v>1</v>
      </c>
    </row>
    <row r="11" spans="1:11" x14ac:dyDescent="0.25">
      <c r="A11" s="407"/>
      <c r="B11" s="408"/>
      <c r="C11" s="112" t="s">
        <v>21</v>
      </c>
      <c r="D11" s="103">
        <f>VLOOKUP(A10,ORÇAMENTO!B:K,10,FALSE)</f>
        <v>1467.52</v>
      </c>
      <c r="E11" s="104">
        <f>E10*$D$11</f>
        <v>1467.52</v>
      </c>
      <c r="F11" s="104"/>
      <c r="G11" s="172"/>
    </row>
    <row r="12" spans="1:11" x14ac:dyDescent="0.25">
      <c r="A12" s="409" t="s">
        <v>185</v>
      </c>
      <c r="B12" s="411" t="str">
        <f>VLOOKUP(A12,ORÇAMENTO!B:K,2,FALSE)</f>
        <v>DEMOLIÇÕES E REMOÇÕES</v>
      </c>
      <c r="C12" s="107" t="s">
        <v>22</v>
      </c>
      <c r="D12" s="101">
        <f>D13/$D$9</f>
        <v>2.7295279547154001E-2</v>
      </c>
      <c r="E12" s="102">
        <v>1</v>
      </c>
      <c r="F12" s="102"/>
      <c r="G12" s="171"/>
      <c r="I12" s="16">
        <f t="shared" ref="I12" si="2">E12+F12+G12</f>
        <v>1</v>
      </c>
    </row>
    <row r="13" spans="1:11" x14ac:dyDescent="0.25">
      <c r="A13" s="410"/>
      <c r="B13" s="412"/>
      <c r="C13" s="112" t="s">
        <v>21</v>
      </c>
      <c r="D13" s="103">
        <f>VLOOKUP(A12,ORÇAMENTO!B:K,10,FALSE)</f>
        <v>5942.63</v>
      </c>
      <c r="E13" s="104">
        <f>E12*D13</f>
        <v>5942.63</v>
      </c>
      <c r="F13" s="104"/>
      <c r="G13" s="172"/>
    </row>
    <row r="14" spans="1:11" x14ac:dyDescent="0.25">
      <c r="A14" s="409" t="s">
        <v>196</v>
      </c>
      <c r="B14" s="411" t="str">
        <f>VLOOKUP(A14,ORÇAMENTO!B:K,2,FALSE)</f>
        <v xml:space="preserve">ALVENARIA E REVESTIMENTOS </v>
      </c>
      <c r="C14" s="107" t="s">
        <v>22</v>
      </c>
      <c r="D14" s="101">
        <f>D15/$D$9</f>
        <v>0.13965029735931697</v>
      </c>
      <c r="E14" s="102">
        <v>0.8</v>
      </c>
      <c r="F14" s="102">
        <v>0.2</v>
      </c>
      <c r="G14" s="171"/>
      <c r="I14" s="16">
        <f>E14+F14+G14</f>
        <v>1</v>
      </c>
    </row>
    <row r="15" spans="1:11" x14ac:dyDescent="0.25">
      <c r="A15" s="410"/>
      <c r="B15" s="412"/>
      <c r="C15" s="112" t="s">
        <v>21</v>
      </c>
      <c r="D15" s="103">
        <f>VLOOKUP(A14,ORÇAMENTO!B:K,10,FALSE)</f>
        <v>30404.16</v>
      </c>
      <c r="E15" s="104">
        <f>E14*D15</f>
        <v>24323.328000000001</v>
      </c>
      <c r="F15" s="104">
        <f>F14*D15</f>
        <v>6080.8320000000003</v>
      </c>
      <c r="G15" s="172"/>
    </row>
    <row r="16" spans="1:11" x14ac:dyDescent="0.25">
      <c r="A16" s="409" t="s">
        <v>201</v>
      </c>
      <c r="B16" s="411" t="str">
        <f>VLOOKUP(A16,ORÇAMENTO!B:K,2,FALSE)</f>
        <v xml:space="preserve">ESQUADRIAS </v>
      </c>
      <c r="C16" s="107" t="s">
        <v>22</v>
      </c>
      <c r="D16" s="101">
        <f>D17/$D$9</f>
        <v>2.6551238216321781E-2</v>
      </c>
      <c r="E16" s="102"/>
      <c r="F16" s="102">
        <v>1</v>
      </c>
      <c r="G16" s="171"/>
      <c r="I16" s="16">
        <f t="shared" ref="I16" si="3">E16+F16+G16</f>
        <v>1</v>
      </c>
    </row>
    <row r="17" spans="1:9" x14ac:dyDescent="0.25">
      <c r="A17" s="410"/>
      <c r="B17" s="412"/>
      <c r="C17" s="112" t="s">
        <v>21</v>
      </c>
      <c r="D17" s="103">
        <f>VLOOKUP(A16,ORÇAMENTO!B:K,10,FALSE)</f>
        <v>5780.64</v>
      </c>
      <c r="E17" s="104"/>
      <c r="F17" s="104">
        <f>F16*D17</f>
        <v>5780.64</v>
      </c>
      <c r="G17" s="172"/>
    </row>
    <row r="18" spans="1:9" x14ac:dyDescent="0.25">
      <c r="A18" s="409" t="s">
        <v>206</v>
      </c>
      <c r="B18" s="411" t="str">
        <f>VLOOKUP(A18,ORÇAMENTO!B:K,2,FALSE)</f>
        <v xml:space="preserve">COBERTURA </v>
      </c>
      <c r="C18" s="107" t="s">
        <v>22</v>
      </c>
      <c r="D18" s="101">
        <f>D19/$D$9</f>
        <v>4.6585282505130519E-2</v>
      </c>
      <c r="E18" s="102">
        <v>0.5</v>
      </c>
      <c r="F18" s="102">
        <v>0.5</v>
      </c>
      <c r="G18" s="171"/>
      <c r="I18" s="16">
        <f t="shared" ref="I18" si="4">E18+F18+G18</f>
        <v>1</v>
      </c>
    </row>
    <row r="19" spans="1:9" x14ac:dyDescent="0.25">
      <c r="A19" s="410"/>
      <c r="B19" s="412"/>
      <c r="C19" s="112" t="s">
        <v>21</v>
      </c>
      <c r="D19" s="103">
        <f>VLOOKUP(A18,ORÇAMENTO!B:K,10,FALSE)</f>
        <v>10142.379999999999</v>
      </c>
      <c r="E19" s="104">
        <f>E18*D19</f>
        <v>5071.1899999999996</v>
      </c>
      <c r="F19" s="104">
        <f>F18*D19</f>
        <v>5071.1899999999996</v>
      </c>
      <c r="G19" s="172"/>
    </row>
    <row r="20" spans="1:9" x14ac:dyDescent="0.25">
      <c r="A20" s="409" t="s">
        <v>207</v>
      </c>
      <c r="B20" s="411" t="str">
        <f>VLOOKUP(A20,ORÇAMENTO!B:K,2,FALSE)</f>
        <v xml:space="preserve">PINTURA </v>
      </c>
      <c r="C20" s="107" t="s">
        <v>22</v>
      </c>
      <c r="D20" s="101">
        <f>D21/$D$9</f>
        <v>0.12163061671054637</v>
      </c>
      <c r="E20" s="102"/>
      <c r="F20" s="105">
        <v>0.4</v>
      </c>
      <c r="G20" s="173">
        <v>0.6</v>
      </c>
      <c r="I20" s="16">
        <f t="shared" ref="I20" si="5">E20+F20+G20</f>
        <v>1</v>
      </c>
    </row>
    <row r="21" spans="1:9" x14ac:dyDescent="0.25">
      <c r="A21" s="410"/>
      <c r="B21" s="412"/>
      <c r="C21" s="112" t="s">
        <v>21</v>
      </c>
      <c r="D21" s="103">
        <f>VLOOKUP(A20,ORÇAMENTO!B:K,10,FALSE)</f>
        <v>26480.98</v>
      </c>
      <c r="E21" s="104"/>
      <c r="F21" s="104">
        <f>F20*D21</f>
        <v>10592.392</v>
      </c>
      <c r="G21" s="172">
        <f>G20*D21</f>
        <v>15888.588</v>
      </c>
    </row>
    <row r="22" spans="1:9" x14ac:dyDescent="0.25">
      <c r="A22" s="409" t="s">
        <v>217</v>
      </c>
      <c r="B22" s="411" t="str">
        <f>VLOOKUP(A22,ORÇAMENTO!B:K,2,FALSE)</f>
        <v>INSTALAÇÕES</v>
      </c>
      <c r="C22" s="107" t="s">
        <v>22</v>
      </c>
      <c r="D22" s="101">
        <f>D23/$D$9</f>
        <v>4.929532180396148E-3</v>
      </c>
      <c r="E22" s="102"/>
      <c r="F22" s="102">
        <v>0.4</v>
      </c>
      <c r="G22" s="171">
        <v>0.6</v>
      </c>
      <c r="I22" s="16">
        <f t="shared" ref="I22" si="6">E22+F22+G22</f>
        <v>1</v>
      </c>
    </row>
    <row r="23" spans="1:9" x14ac:dyDescent="0.25">
      <c r="A23" s="410"/>
      <c r="B23" s="412"/>
      <c r="C23" s="112" t="s">
        <v>21</v>
      </c>
      <c r="D23" s="103">
        <f>VLOOKUP(A22,ORÇAMENTO!B:K,10,FALSE)</f>
        <v>1073.24</v>
      </c>
      <c r="E23" s="104"/>
      <c r="F23" s="104">
        <f>F22*D23</f>
        <v>429.29600000000005</v>
      </c>
      <c r="G23" s="172">
        <f>G22*D23</f>
        <v>643.94399999999996</v>
      </c>
    </row>
    <row r="24" spans="1:9" x14ac:dyDescent="0.25">
      <c r="A24" s="409" t="s">
        <v>219</v>
      </c>
      <c r="B24" s="411" t="str">
        <f>VLOOKUP(A24,ORÇAMENTO!B:K,2,FALSE)</f>
        <v>CONSTRUÇÃO DA ESCADA</v>
      </c>
      <c r="C24" s="107" t="s">
        <v>22</v>
      </c>
      <c r="D24" s="101">
        <f>D25/$D$9</f>
        <v>0.19184742169170535</v>
      </c>
      <c r="E24" s="102">
        <v>0.25</v>
      </c>
      <c r="F24" s="102">
        <v>0.25</v>
      </c>
      <c r="G24" s="171">
        <v>0.5</v>
      </c>
      <c r="I24" s="16">
        <f t="shared" ref="I24" si="7">E24+F24+G24</f>
        <v>1</v>
      </c>
    </row>
    <row r="25" spans="1:9" x14ac:dyDescent="0.25">
      <c r="A25" s="410"/>
      <c r="B25" s="412"/>
      <c r="C25" s="112" t="s">
        <v>21</v>
      </c>
      <c r="D25" s="103">
        <f>VLOOKUP(A24,ORÇAMENTO!B:K,10,FALSE)</f>
        <v>41768.33</v>
      </c>
      <c r="E25" s="104">
        <f>E24*D25</f>
        <v>10442.0825</v>
      </c>
      <c r="F25" s="104">
        <f>F24*D25</f>
        <v>10442.0825</v>
      </c>
      <c r="G25" s="172">
        <f>G24*D25</f>
        <v>20884.165000000001</v>
      </c>
    </row>
    <row r="26" spans="1:9" x14ac:dyDescent="0.25">
      <c r="A26" s="409" t="s">
        <v>348</v>
      </c>
      <c r="B26" s="411" t="str">
        <f>VLOOKUP(A26,ORÇAMENTO!B:K,2,FALSE)</f>
        <v>DEMOLIÇÕES E REMOÇÕES</v>
      </c>
      <c r="C26" s="107" t="s">
        <v>22</v>
      </c>
      <c r="D26" s="101">
        <f>D27/$D$9</f>
        <v>2.333420909035791E-2</v>
      </c>
      <c r="E26" s="102">
        <v>1</v>
      </c>
      <c r="F26" s="102"/>
      <c r="G26" s="171"/>
      <c r="I26" s="16">
        <f t="shared" ref="I26" si="8">E26+F26+G26</f>
        <v>1</v>
      </c>
    </row>
    <row r="27" spans="1:9" x14ac:dyDescent="0.25">
      <c r="A27" s="410"/>
      <c r="B27" s="412"/>
      <c r="C27" s="112" t="s">
        <v>21</v>
      </c>
      <c r="D27" s="103">
        <f>VLOOKUP(A26,ORÇAMENTO!B:K,10,FALSE)</f>
        <v>5080.24</v>
      </c>
      <c r="E27" s="104">
        <f>E26*D27</f>
        <v>5080.24</v>
      </c>
      <c r="F27" s="104"/>
      <c r="G27" s="172"/>
    </row>
    <row r="28" spans="1:9" x14ac:dyDescent="0.25">
      <c r="A28" s="409" t="s">
        <v>359</v>
      </c>
      <c r="B28" s="411" t="str">
        <f>VLOOKUP(A28,ORÇAMENTO!B:K,2,FALSE)</f>
        <v>ALVENARIA E REVESTIMENTO</v>
      </c>
      <c r="C28" s="107" t="s">
        <v>22</v>
      </c>
      <c r="D28" s="101">
        <f t="shared" ref="D28" si="9">D29/$D$9</f>
        <v>1.7421425303743767E-2</v>
      </c>
      <c r="E28" s="102">
        <v>1</v>
      </c>
      <c r="F28" s="104"/>
      <c r="G28" s="172"/>
      <c r="I28" s="16">
        <f t="shared" ref="I28" si="10">E28+F28+G28</f>
        <v>1</v>
      </c>
    </row>
    <row r="29" spans="1:9" x14ac:dyDescent="0.25">
      <c r="A29" s="410"/>
      <c r="B29" s="412"/>
      <c r="C29" s="112" t="s">
        <v>21</v>
      </c>
      <c r="D29" s="103">
        <f>VLOOKUP(A28,ORÇAMENTO!B:K,10,FALSE)</f>
        <v>3792.93</v>
      </c>
      <c r="E29" s="104">
        <f>E28*D29</f>
        <v>3792.93</v>
      </c>
      <c r="F29" s="104"/>
      <c r="G29" s="172"/>
    </row>
    <row r="30" spans="1:9" x14ac:dyDescent="0.25">
      <c r="A30" s="409" t="s">
        <v>363</v>
      </c>
      <c r="B30" s="411" t="str">
        <f>VLOOKUP(A30,ORÇAMENTO!B:K,2,FALSE)</f>
        <v xml:space="preserve">ESQUADRIAS </v>
      </c>
      <c r="C30" s="107" t="s">
        <v>22</v>
      </c>
      <c r="D30" s="101">
        <f t="shared" ref="D30" si="11">D31/$D$9</f>
        <v>2.6551238216321781E-2</v>
      </c>
      <c r="E30" s="104"/>
      <c r="F30" s="102">
        <v>1</v>
      </c>
      <c r="G30" s="172"/>
      <c r="I30" s="16">
        <f t="shared" ref="I30" si="12">E30+F30+G30</f>
        <v>1</v>
      </c>
    </row>
    <row r="31" spans="1:9" x14ac:dyDescent="0.25">
      <c r="A31" s="410"/>
      <c r="B31" s="412"/>
      <c r="C31" s="112" t="s">
        <v>21</v>
      </c>
      <c r="D31" s="103">
        <f>VLOOKUP(A30,ORÇAMENTO!B:K,10,FALSE)</f>
        <v>5780.64</v>
      </c>
      <c r="E31" s="104"/>
      <c r="F31" s="104">
        <f>F30*D31</f>
        <v>5780.64</v>
      </c>
      <c r="G31" s="172"/>
    </row>
    <row r="32" spans="1:9" x14ac:dyDescent="0.25">
      <c r="A32" s="409" t="s">
        <v>368</v>
      </c>
      <c r="B32" s="411" t="str">
        <f>VLOOKUP(A32,ORÇAMENTO!B:K,2,FALSE)</f>
        <v xml:space="preserve">COBERTURA </v>
      </c>
      <c r="C32" s="107" t="s">
        <v>22</v>
      </c>
      <c r="D32" s="101">
        <f t="shared" ref="D32" si="13">D33/$D$9</f>
        <v>4.6585282505130519E-2</v>
      </c>
      <c r="E32" s="102">
        <v>0.5</v>
      </c>
      <c r="F32" s="102">
        <v>0.5</v>
      </c>
      <c r="G32" s="172"/>
      <c r="I32" s="16">
        <f t="shared" ref="I32" si="14">E32+F32+G32</f>
        <v>1</v>
      </c>
    </row>
    <row r="33" spans="1:9" x14ac:dyDescent="0.25">
      <c r="A33" s="410"/>
      <c r="B33" s="412"/>
      <c r="C33" s="112" t="s">
        <v>21</v>
      </c>
      <c r="D33" s="103">
        <f>VLOOKUP(A32,ORÇAMENTO!B:K,10,FALSE)</f>
        <v>10142.379999999999</v>
      </c>
      <c r="E33" s="104">
        <f>E32*D33</f>
        <v>5071.1899999999996</v>
      </c>
      <c r="F33" s="104">
        <f>F32*D33</f>
        <v>5071.1899999999996</v>
      </c>
      <c r="G33" s="172"/>
    </row>
    <row r="34" spans="1:9" x14ac:dyDescent="0.25">
      <c r="A34" s="409" t="s">
        <v>371</v>
      </c>
      <c r="B34" s="411" t="str">
        <f>VLOOKUP(A34,ORÇAMENTO!B:K,2,FALSE)</f>
        <v xml:space="preserve">PINTURA </v>
      </c>
      <c r="C34" s="107" t="s">
        <v>22</v>
      </c>
      <c r="D34" s="101">
        <f t="shared" ref="D34" si="15">D35/$D$9</f>
        <v>0.12392272699713938</v>
      </c>
      <c r="E34" s="104"/>
      <c r="F34" s="105">
        <v>0.4</v>
      </c>
      <c r="G34" s="173">
        <v>0.6</v>
      </c>
      <c r="I34" s="16">
        <f t="shared" ref="I34" si="16">E34+F34+G34</f>
        <v>1</v>
      </c>
    </row>
    <row r="35" spans="1:9" x14ac:dyDescent="0.25">
      <c r="A35" s="410"/>
      <c r="B35" s="412"/>
      <c r="C35" s="112" t="s">
        <v>21</v>
      </c>
      <c r="D35" s="103">
        <f>VLOOKUP(A34,ORÇAMENTO!B:K,10,FALSE)</f>
        <v>26980.01</v>
      </c>
      <c r="E35" s="104"/>
      <c r="F35" s="104">
        <f>F34*D35</f>
        <v>10792.004000000001</v>
      </c>
      <c r="G35" s="172">
        <f>G34*D35</f>
        <v>16188.005999999998</v>
      </c>
    </row>
    <row r="36" spans="1:9" x14ac:dyDescent="0.25">
      <c r="A36" s="409" t="s">
        <v>379</v>
      </c>
      <c r="B36" s="411" t="str">
        <f>VLOOKUP(A36,ORÇAMENTO!B:K,2,FALSE)</f>
        <v>INSTALAÇÕES</v>
      </c>
      <c r="C36" s="107" t="s">
        <v>22</v>
      </c>
      <c r="D36" s="101">
        <f>D37/$D$9</f>
        <v>5.1075160162486607E-3</v>
      </c>
      <c r="E36" s="102"/>
      <c r="F36" s="102">
        <v>0.4</v>
      </c>
      <c r="G36" s="171">
        <v>0.6</v>
      </c>
      <c r="I36" s="16">
        <f t="shared" ref="I36" si="17">E36+F36+G36</f>
        <v>1</v>
      </c>
    </row>
    <row r="37" spans="1:9" x14ac:dyDescent="0.25">
      <c r="A37" s="410"/>
      <c r="B37" s="412"/>
      <c r="C37" s="112" t="s">
        <v>21</v>
      </c>
      <c r="D37" s="103">
        <f>VLOOKUP(A36,ORÇAMENTO!B:K,10,FALSE)</f>
        <v>1111.99</v>
      </c>
      <c r="E37" s="104"/>
      <c r="F37" s="104">
        <f>F36*D37</f>
        <v>444.79600000000005</v>
      </c>
      <c r="G37" s="172">
        <f>G36*D37</f>
        <v>667.19399999999996</v>
      </c>
    </row>
    <row r="38" spans="1:9" x14ac:dyDescent="0.25">
      <c r="A38" s="409" t="s">
        <v>385</v>
      </c>
      <c r="B38" s="411" t="str">
        <f>VLOOKUP(A38,ORÇAMENTO!B:K,2,FALSE)</f>
        <v>CONSTRUÇÃO DA ESCADA</v>
      </c>
      <c r="C38" s="107" t="s">
        <v>22</v>
      </c>
      <c r="D38" s="101">
        <f>D39/$D$9</f>
        <v>0.19184742169170535</v>
      </c>
      <c r="E38" s="102">
        <v>0.25</v>
      </c>
      <c r="F38" s="102">
        <v>0.25</v>
      </c>
      <c r="G38" s="171">
        <v>0.5</v>
      </c>
      <c r="I38" s="16">
        <f t="shared" ref="I38" si="18">E38+F38+G38</f>
        <v>1</v>
      </c>
    </row>
    <row r="39" spans="1:9" x14ac:dyDescent="0.25">
      <c r="A39" s="410"/>
      <c r="B39" s="412"/>
      <c r="C39" s="112" t="s">
        <v>21</v>
      </c>
      <c r="D39" s="103">
        <f>VLOOKUP(A38,ORÇAMENTO!B:K,10,FALSE)</f>
        <v>41768.33</v>
      </c>
      <c r="E39" s="104">
        <f>E38*D39</f>
        <v>10442.0825</v>
      </c>
      <c r="F39" s="104">
        <f>F38*D39</f>
        <v>10442.0825</v>
      </c>
      <c r="G39" s="172">
        <f>G38*D39</f>
        <v>20884.165000000001</v>
      </c>
    </row>
    <row r="40" spans="1:9" x14ac:dyDescent="0.25">
      <c r="A40" s="421" t="s">
        <v>1</v>
      </c>
      <c r="B40" s="429"/>
      <c r="C40" s="107" t="s">
        <v>22</v>
      </c>
      <c r="D40" s="99">
        <f>D41/D9</f>
        <v>1</v>
      </c>
      <c r="E40" s="99">
        <f t="shared" ref="E40:G41" si="19">E8</f>
        <v>0.32902065714847389</v>
      </c>
      <c r="F40" s="99">
        <f t="shared" si="19"/>
        <v>0.3257776860172224</v>
      </c>
      <c r="G40" s="169">
        <f t="shared" si="19"/>
        <v>0.34520165683430371</v>
      </c>
      <c r="I40" s="16">
        <f>E40+F40+G40</f>
        <v>1</v>
      </c>
    </row>
    <row r="41" spans="1:9" x14ac:dyDescent="0.25">
      <c r="A41" s="422"/>
      <c r="B41" s="430"/>
      <c r="C41" s="112" t="s">
        <v>21</v>
      </c>
      <c r="D41" s="106">
        <f>D11+D13+D15+D17+D19+D21+D23+D25+D27+D29+D31+D33+D35+D37+D39</f>
        <v>217716.40000000002</v>
      </c>
      <c r="E41" s="106">
        <f t="shared" si="19"/>
        <v>71633.193000000014</v>
      </c>
      <c r="F41" s="106">
        <f t="shared" si="19"/>
        <v>70927.145000000004</v>
      </c>
      <c r="G41" s="174">
        <f>G9</f>
        <v>75156.062000000005</v>
      </c>
    </row>
    <row r="42" spans="1:9" x14ac:dyDescent="0.25">
      <c r="A42" s="422"/>
      <c r="B42" s="430"/>
      <c r="C42" s="107" t="s">
        <v>22</v>
      </c>
      <c r="D42" s="107" t="s">
        <v>23</v>
      </c>
      <c r="E42" s="99">
        <f>E43/$D$41</f>
        <v>0.32902065714847389</v>
      </c>
      <c r="F42" s="99">
        <f>F43/$D$41</f>
        <v>0.65479834316569629</v>
      </c>
      <c r="G42" s="169">
        <f>G43/$D$41</f>
        <v>1</v>
      </c>
    </row>
    <row r="43" spans="1:9" x14ac:dyDescent="0.25">
      <c r="A43" s="422"/>
      <c r="B43" s="430"/>
      <c r="C43" s="113" t="s">
        <v>21</v>
      </c>
      <c r="D43" s="108" t="s">
        <v>23</v>
      </c>
      <c r="E43" s="109">
        <f>E41</f>
        <v>71633.193000000014</v>
      </c>
      <c r="F43" s="109">
        <f>F41+E43</f>
        <v>142560.33800000002</v>
      </c>
      <c r="G43" s="175">
        <f>G41+F43</f>
        <v>217716.40000000002</v>
      </c>
    </row>
    <row r="44" spans="1:9" x14ac:dyDescent="0.25">
      <c r="A44" s="392" t="str">
        <f>ORÇAMENTO!B130</f>
        <v xml:space="preserve">RESPONSÁVEL TÉCNICO: </v>
      </c>
      <c r="B44" s="393"/>
      <c r="C44" s="393"/>
      <c r="D44" s="394" t="str">
        <f>ORÇAMENTO!F130</f>
        <v xml:space="preserve">RESPONSÁVEL LEGAL: </v>
      </c>
      <c r="E44" s="394"/>
      <c r="F44" s="394"/>
      <c r="G44" s="395"/>
    </row>
    <row r="45" spans="1:9" x14ac:dyDescent="0.25">
      <c r="A45" s="396" t="str">
        <f>ORÇAMENTO!B132</f>
        <v>______________________________________________
GERALDO DIAS PEREIRA JÚNIOR
ENGENHEIRO CIVIL - CREA:  248.562/D - MG</v>
      </c>
      <c r="B45" s="397"/>
      <c r="C45" s="397"/>
      <c r="D45" s="400" t="str">
        <f>ORÇAMENTO!F132</f>
        <v>_________________________________________
MIGUEL PAULO SOUZA FILHO
PREFEITO MUNICIPAL DE SÃO FRANCISCO</v>
      </c>
      <c r="E45" s="400"/>
      <c r="F45" s="400"/>
      <c r="G45" s="401"/>
    </row>
    <row r="46" spans="1:9" x14ac:dyDescent="0.25">
      <c r="A46" s="396"/>
      <c r="B46" s="397"/>
      <c r="C46" s="397"/>
      <c r="D46" s="400"/>
      <c r="E46" s="400"/>
      <c r="F46" s="400"/>
      <c r="G46" s="401"/>
    </row>
    <row r="47" spans="1:9" x14ac:dyDescent="0.25">
      <c r="A47" s="396"/>
      <c r="B47" s="397"/>
      <c r="C47" s="397"/>
      <c r="D47" s="400"/>
      <c r="E47" s="400"/>
      <c r="F47" s="400"/>
      <c r="G47" s="401"/>
    </row>
    <row r="48" spans="1:9" x14ac:dyDescent="0.25">
      <c r="A48" s="396"/>
      <c r="B48" s="397"/>
      <c r="C48" s="397"/>
      <c r="D48" s="400"/>
      <c r="E48" s="400"/>
      <c r="F48" s="400"/>
      <c r="G48" s="401"/>
    </row>
    <row r="49" spans="1:9" ht="15" customHeight="1" x14ac:dyDescent="0.25">
      <c r="A49" s="396"/>
      <c r="B49" s="397"/>
      <c r="C49" s="397"/>
      <c r="D49" s="400"/>
      <c r="E49" s="400"/>
      <c r="F49" s="400"/>
      <c r="G49" s="401"/>
      <c r="H49" s="22"/>
      <c r="I49" s="21"/>
    </row>
    <row r="50" spans="1:9" ht="15" customHeight="1" x14ac:dyDescent="0.25">
      <c r="A50" s="396"/>
      <c r="B50" s="397"/>
      <c r="C50" s="397"/>
      <c r="D50" s="400"/>
      <c r="E50" s="400"/>
      <c r="F50" s="400"/>
      <c r="G50" s="401"/>
      <c r="H50" s="20"/>
      <c r="I50" s="21"/>
    </row>
    <row r="51" spans="1:9" x14ac:dyDescent="0.25">
      <c r="A51" s="396"/>
      <c r="B51" s="397"/>
      <c r="C51" s="397"/>
      <c r="D51" s="400"/>
      <c r="E51" s="400"/>
      <c r="F51" s="400"/>
      <c r="G51" s="401"/>
      <c r="H51" s="21"/>
      <c r="I51" s="21"/>
    </row>
    <row r="52" spans="1:9" ht="15.75" thickBot="1" x14ac:dyDescent="0.3">
      <c r="A52" s="398"/>
      <c r="B52" s="399"/>
      <c r="C52" s="399"/>
      <c r="D52" s="402"/>
      <c r="E52" s="402"/>
      <c r="F52" s="402"/>
      <c r="G52" s="403"/>
      <c r="H52" s="21"/>
      <c r="I52" s="21"/>
    </row>
  </sheetData>
  <mergeCells count="47">
    <mergeCell ref="A40:B43"/>
    <mergeCell ref="A24:A25"/>
    <mergeCell ref="B24:B25"/>
    <mergeCell ref="A26:A27"/>
    <mergeCell ref="B26:B27"/>
    <mergeCell ref="A36:A37"/>
    <mergeCell ref="B36:B37"/>
    <mergeCell ref="B34:B35"/>
    <mergeCell ref="A28:A29"/>
    <mergeCell ref="B28:B29"/>
    <mergeCell ref="A30:A31"/>
    <mergeCell ref="B30:B31"/>
    <mergeCell ref="A32:A33"/>
    <mergeCell ref="B32:B33"/>
    <mergeCell ref="A38:A39"/>
    <mergeCell ref="B38:B39"/>
    <mergeCell ref="B6:B7"/>
    <mergeCell ref="C6:D7"/>
    <mergeCell ref="A18:A19"/>
    <mergeCell ref="B18:B19"/>
    <mergeCell ref="A20:A21"/>
    <mergeCell ref="B20:B21"/>
    <mergeCell ref="A5:E5"/>
    <mergeCell ref="E6:G6"/>
    <mergeCell ref="A1:G1"/>
    <mergeCell ref="A4:E4"/>
    <mergeCell ref="A3:E3"/>
    <mergeCell ref="A2:E2"/>
    <mergeCell ref="F3:G3"/>
    <mergeCell ref="F5:G5"/>
    <mergeCell ref="A6:A7"/>
    <mergeCell ref="A44:C44"/>
    <mergeCell ref="D44:G44"/>
    <mergeCell ref="A45:C52"/>
    <mergeCell ref="D45:G52"/>
    <mergeCell ref="A8:B9"/>
    <mergeCell ref="A10:A11"/>
    <mergeCell ref="B10:B11"/>
    <mergeCell ref="A12:A13"/>
    <mergeCell ref="B12:B13"/>
    <mergeCell ref="A14:A15"/>
    <mergeCell ref="B14:B15"/>
    <mergeCell ref="A22:A23"/>
    <mergeCell ref="B22:B23"/>
    <mergeCell ref="A16:A17"/>
    <mergeCell ref="B16:B17"/>
    <mergeCell ref="A34:A35"/>
  </mergeCells>
  <phoneticPr fontId="9" type="noConversion"/>
  <conditionalFormatting sqref="C10:G10 C12:G12 C14:G14 C16:G16 C18:G18 C20:G20 C22:G22 C24:G24 C26:G26 C28:G28 C30:G30 C34:G34 C36:G36 C38:G38 C32:G32">
    <cfRule type="notContainsBlanks" dxfId="0" priority="1">
      <formula>LEN(TRIM(C10))&gt;0</formula>
    </cfRule>
  </conditionalFormatting>
  <pageMargins left="0.25" right="0.25" top="0.75" bottom="0.75" header="0.3" footer="0.3"/>
  <pageSetup paperSize="9" scale="70" fitToHeight="0" orientation="portrait" horizontalDpi="360" verticalDpi="360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BDI</vt:lpstr>
      <vt:lpstr>MC</vt:lpstr>
      <vt:lpstr>ORÇAMENTO</vt:lpstr>
      <vt:lpstr>CPU</vt:lpstr>
      <vt:lpstr>CRONOGRAMA</vt:lpstr>
      <vt:lpstr>BDI!Area_de_impressao</vt:lpstr>
      <vt:lpstr>CPU!Area_de_impressao</vt:lpstr>
      <vt:lpstr>CRONOGRAMA!Area_de_impressao</vt:lpstr>
      <vt:lpstr>MC!Area_de_impressao</vt:lpstr>
      <vt:lpstr>ORÇAMENTO!Area_de_impressao</vt:lpstr>
      <vt:lpstr>BDI!Titulos_de_impressao</vt:lpstr>
      <vt:lpstr>CPU!Titulos_de_impressao</vt:lpstr>
      <vt:lpstr>CRONOGRAMA!Titulos_de_impressao</vt:lpstr>
      <vt:lpstr>MC!Titulos_de_impressao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CAE</dc:creator>
  <cp:lastModifiedBy>Setor de Compras</cp:lastModifiedBy>
  <cp:lastPrinted>2025-11-19T17:35:48Z</cp:lastPrinted>
  <dcterms:created xsi:type="dcterms:W3CDTF">2024-04-12T12:52:18Z</dcterms:created>
  <dcterms:modified xsi:type="dcterms:W3CDTF">2025-12-19T15:36:14Z</dcterms:modified>
</cp:coreProperties>
</file>